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mfor\OneDrive\Desktop\Dissertation\Article 4\"/>
    </mc:Choice>
  </mc:AlternateContent>
  <bookViews>
    <workbookView xWindow="0" yWindow="456" windowWidth="35340" windowHeight="23796" tabRatio="500" firstSheet="1" activeTab="1"/>
  </bookViews>
  <sheets>
    <sheet name="Caesarea Maritima -- NONWOOD" sheetId="3" r:id="rId1"/>
    <sheet name="Caesarea Maritima -- WOOD" sheetId="4" r:id="rId2"/>
  </sheets>
  <externalReferences>
    <externalReference r:id="rId3"/>
  </externalReferences>
  <definedNames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4" l="1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C12" i="4"/>
  <c r="C11" i="4"/>
  <c r="C10" i="4"/>
  <c r="T53" i="4"/>
  <c r="S53" i="4"/>
  <c r="R53" i="4"/>
  <c r="T52" i="4"/>
  <c r="S52" i="4"/>
  <c r="R52" i="4"/>
  <c r="Q50" i="4"/>
  <c r="P50" i="4"/>
  <c r="O50" i="4"/>
  <c r="N50" i="4"/>
  <c r="M50" i="4"/>
  <c r="I50" i="4"/>
  <c r="F50" i="4"/>
  <c r="E50" i="4"/>
  <c r="D50" i="4"/>
  <c r="C50" i="4"/>
  <c r="Q49" i="4"/>
  <c r="O49" i="4"/>
  <c r="N49" i="4"/>
  <c r="M49" i="4"/>
  <c r="T49" i="4" s="1"/>
  <c r="I49" i="4"/>
  <c r="F49" i="4"/>
  <c r="E49" i="4"/>
  <c r="D49" i="4"/>
  <c r="C49" i="4"/>
  <c r="T47" i="4"/>
  <c r="S47" i="4"/>
  <c r="R47" i="4"/>
  <c r="T46" i="4"/>
  <c r="S46" i="4"/>
  <c r="R46" i="4"/>
  <c r="T45" i="4"/>
  <c r="S45" i="4"/>
  <c r="R45" i="4"/>
  <c r="T44" i="4"/>
  <c r="S44" i="4"/>
  <c r="R44" i="4"/>
  <c r="T43" i="4"/>
  <c r="S43" i="4"/>
  <c r="R43" i="4"/>
  <c r="T42" i="4"/>
  <c r="S42" i="4"/>
  <c r="R42" i="4"/>
  <c r="T41" i="4"/>
  <c r="S41" i="4"/>
  <c r="R41" i="4"/>
  <c r="T40" i="4"/>
  <c r="S40" i="4"/>
  <c r="R40" i="4"/>
  <c r="O38" i="4"/>
  <c r="M38" i="4"/>
  <c r="L38" i="4"/>
  <c r="K38" i="4"/>
  <c r="I38" i="4"/>
  <c r="H38" i="4"/>
  <c r="G38" i="4"/>
  <c r="F38" i="4"/>
  <c r="E38" i="4"/>
  <c r="C38" i="4"/>
  <c r="O37" i="4"/>
  <c r="M37" i="4"/>
  <c r="L37" i="4"/>
  <c r="K37" i="4"/>
  <c r="I37" i="4"/>
  <c r="H37" i="4"/>
  <c r="G37" i="4"/>
  <c r="F37" i="4"/>
  <c r="E37" i="4"/>
  <c r="C37" i="4"/>
  <c r="T34" i="4"/>
  <c r="S34" i="4"/>
  <c r="R34" i="4"/>
  <c r="T33" i="4"/>
  <c r="S33" i="4"/>
  <c r="R33" i="4"/>
  <c r="T32" i="4"/>
  <c r="S32" i="4"/>
  <c r="R32" i="4"/>
  <c r="T31" i="4"/>
  <c r="S31" i="4"/>
  <c r="R31" i="4"/>
  <c r="T30" i="4"/>
  <c r="S30" i="4"/>
  <c r="R30" i="4"/>
  <c r="T29" i="4"/>
  <c r="S29" i="4"/>
  <c r="R29" i="4"/>
  <c r="T28" i="4"/>
  <c r="S28" i="4"/>
  <c r="R28" i="4"/>
  <c r="T27" i="4"/>
  <c r="S27" i="4"/>
  <c r="R27" i="4"/>
  <c r="T26" i="4"/>
  <c r="S26" i="4"/>
  <c r="R26" i="4"/>
  <c r="T25" i="4"/>
  <c r="S25" i="4"/>
  <c r="R25" i="4"/>
  <c r="T24" i="4"/>
  <c r="S24" i="4"/>
  <c r="R24" i="4"/>
  <c r="T23" i="4"/>
  <c r="S23" i="4"/>
  <c r="R23" i="4"/>
  <c r="T22" i="4"/>
  <c r="S22" i="4"/>
  <c r="R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R1" i="4"/>
  <c r="T37" i="4" l="1"/>
  <c r="T50" i="4"/>
  <c r="S49" i="4"/>
  <c r="R10" i="4"/>
  <c r="R38" i="4"/>
  <c r="R37" i="4"/>
  <c r="T38" i="4"/>
  <c r="S37" i="4"/>
  <c r="R50" i="4"/>
  <c r="S38" i="4"/>
  <c r="S50" i="4"/>
  <c r="R49" i="4"/>
  <c r="S10" i="4" l="1"/>
  <c r="M110" i="3" l="1"/>
  <c r="K110" i="3"/>
  <c r="F110" i="3" l="1"/>
  <c r="U113" i="3" l="1"/>
  <c r="U114" i="3"/>
  <c r="U118" i="3"/>
  <c r="U119" i="3"/>
  <c r="U120" i="3"/>
  <c r="U121" i="3"/>
  <c r="U122" i="3"/>
  <c r="U123" i="3"/>
  <c r="U124" i="3"/>
  <c r="U125" i="3"/>
  <c r="U126" i="3"/>
  <c r="U101" i="3" l="1"/>
  <c r="S77" i="3" l="1"/>
  <c r="U77" i="3"/>
  <c r="V77" i="3" s="1"/>
  <c r="S98" i="3" l="1"/>
  <c r="S99" i="3"/>
  <c r="S100" i="3"/>
  <c r="S101" i="3"/>
  <c r="S102" i="3"/>
  <c r="S103" i="3"/>
  <c r="S104" i="3"/>
  <c r="S105" i="3"/>
  <c r="S106" i="3"/>
  <c r="S107" i="3"/>
  <c r="S108" i="3"/>
  <c r="S109" i="3"/>
  <c r="S97" i="3"/>
  <c r="D18" i="3" l="1"/>
  <c r="G17" i="3"/>
  <c r="H17" i="3"/>
  <c r="I17" i="3"/>
  <c r="L17" i="3"/>
  <c r="H16" i="3"/>
  <c r="I16" i="3"/>
  <c r="L16" i="3"/>
  <c r="D16" i="3"/>
  <c r="D17" i="3"/>
  <c r="S110" i="3" l="1"/>
  <c r="U110" i="3"/>
  <c r="M94" i="3"/>
  <c r="U79" i="3"/>
  <c r="U78" i="3"/>
  <c r="S78" i="3"/>
  <c r="I62" i="3"/>
  <c r="M62" i="3"/>
  <c r="N62" i="3"/>
  <c r="P62" i="3"/>
  <c r="Q62" i="3"/>
  <c r="R62" i="3"/>
  <c r="F62" i="3"/>
  <c r="F61" i="3"/>
  <c r="G61" i="3"/>
  <c r="H61" i="3"/>
  <c r="I61" i="3"/>
  <c r="J61" i="3"/>
  <c r="K61" i="3"/>
  <c r="L61" i="3"/>
  <c r="M61" i="3"/>
  <c r="N61" i="3"/>
  <c r="P61" i="3"/>
  <c r="Q61" i="3"/>
  <c r="R61" i="3"/>
  <c r="E62" i="3"/>
  <c r="E61" i="3"/>
  <c r="U91" i="3"/>
  <c r="F34" i="3" l="1"/>
  <c r="F17" i="3" s="1"/>
  <c r="J34" i="3"/>
  <c r="J17" i="3" s="1"/>
  <c r="K34" i="3"/>
  <c r="K17" i="3" s="1"/>
  <c r="R34" i="3"/>
  <c r="G35" i="3"/>
  <c r="G16" i="3" s="1"/>
  <c r="H19" i="3"/>
  <c r="J35" i="3"/>
  <c r="J16" i="3" s="1"/>
  <c r="L19" i="3"/>
  <c r="P19" i="3"/>
  <c r="Q19" i="3"/>
  <c r="R35" i="3"/>
  <c r="E35" i="3"/>
  <c r="E34" i="3"/>
  <c r="E17" i="3" s="1"/>
  <c r="K26" i="3"/>
  <c r="F50" i="3"/>
  <c r="M50" i="3"/>
  <c r="O50" i="3"/>
  <c r="E50" i="3"/>
  <c r="F49" i="3"/>
  <c r="K49" i="3"/>
  <c r="M49" i="3"/>
  <c r="E49" i="3"/>
  <c r="U89" i="3"/>
  <c r="V89" i="3" s="1"/>
  <c r="N19" i="3"/>
  <c r="O19" i="3"/>
  <c r="D19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D15" i="3"/>
  <c r="D13" i="3"/>
  <c r="D12" i="3"/>
  <c r="K55" i="3"/>
  <c r="K62" i="3" s="1"/>
  <c r="U98" i="3"/>
  <c r="U99" i="3"/>
  <c r="U100" i="3"/>
  <c r="U102" i="3"/>
  <c r="U103" i="3"/>
  <c r="U104" i="3"/>
  <c r="U105" i="3"/>
  <c r="U106" i="3"/>
  <c r="U107" i="3"/>
  <c r="U108" i="3"/>
  <c r="U109" i="3"/>
  <c r="U97" i="3"/>
  <c r="U88" i="3"/>
  <c r="U87" i="3"/>
  <c r="V87" i="3" s="1"/>
  <c r="U86" i="3"/>
  <c r="V86" i="3" s="1"/>
  <c r="U85" i="3"/>
  <c r="V85" i="3" s="1"/>
  <c r="U84" i="3"/>
  <c r="V84" i="3" s="1"/>
  <c r="U83" i="3"/>
  <c r="V83" i="3" s="1"/>
  <c r="U82" i="3"/>
  <c r="V82" i="3" s="1"/>
  <c r="U81" i="3"/>
  <c r="V81" i="3" s="1"/>
  <c r="U80" i="3"/>
  <c r="V80" i="3" s="1"/>
  <c r="V79" i="3"/>
  <c r="U76" i="3"/>
  <c r="V76" i="3" s="1"/>
  <c r="U75" i="3"/>
  <c r="V75" i="3" s="1"/>
  <c r="U74" i="3"/>
  <c r="V74" i="3" s="1"/>
  <c r="U73" i="3"/>
  <c r="V73" i="3" s="1"/>
  <c r="U72" i="3"/>
  <c r="V72" i="3" s="1"/>
  <c r="U71" i="3"/>
  <c r="V71" i="3" s="1"/>
  <c r="U70" i="3"/>
  <c r="V70" i="3" s="1"/>
  <c r="U69" i="3"/>
  <c r="V69" i="3" s="1"/>
  <c r="U68" i="3"/>
  <c r="V68" i="3" s="1"/>
  <c r="U59" i="3"/>
  <c r="W59" i="3" s="1"/>
  <c r="U58" i="3"/>
  <c r="W58" i="3" s="1"/>
  <c r="U57" i="3"/>
  <c r="V57" i="3" s="1"/>
  <c r="U56" i="3"/>
  <c r="V56" i="3" s="1"/>
  <c r="U54" i="3"/>
  <c r="V54" i="3" s="1"/>
  <c r="U53" i="3"/>
  <c r="W53" i="3" s="1"/>
  <c r="U52" i="3"/>
  <c r="V52" i="3" s="1"/>
  <c r="U46" i="3"/>
  <c r="V46" i="3" s="1"/>
  <c r="U45" i="3"/>
  <c r="W45" i="3" s="1"/>
  <c r="U44" i="3"/>
  <c r="V44" i="3" s="1"/>
  <c r="U43" i="3"/>
  <c r="V43" i="3" s="1"/>
  <c r="U42" i="3"/>
  <c r="W42" i="3" s="1"/>
  <c r="U41" i="3"/>
  <c r="V41" i="3" s="1"/>
  <c r="U40" i="3"/>
  <c r="V40" i="3" s="1"/>
  <c r="U39" i="3"/>
  <c r="V39" i="3" s="1"/>
  <c r="U38" i="3"/>
  <c r="V38" i="3" s="1"/>
  <c r="U37" i="3"/>
  <c r="V37" i="3" s="1"/>
  <c r="U29" i="3"/>
  <c r="V29" i="3" s="1"/>
  <c r="U27" i="3"/>
  <c r="V27" i="3" s="1"/>
  <c r="U23" i="3"/>
  <c r="V23" i="3" s="1"/>
  <c r="E19" i="3" l="1"/>
  <c r="E16" i="3"/>
  <c r="V88" i="3"/>
  <c r="U93" i="3"/>
  <c r="V42" i="3"/>
  <c r="U61" i="3"/>
  <c r="V61" i="3" s="1"/>
  <c r="W40" i="3"/>
  <c r="W39" i="3"/>
  <c r="S61" i="3"/>
  <c r="V58" i="3"/>
  <c r="V45" i="3"/>
  <c r="W56" i="3"/>
  <c r="V53" i="3"/>
  <c r="V59" i="3"/>
  <c r="W43" i="3"/>
  <c r="S69" i="3"/>
  <c r="S70" i="3"/>
  <c r="S71" i="3"/>
  <c r="S72" i="3"/>
  <c r="S73" i="3"/>
  <c r="S74" i="3"/>
  <c r="S75" i="3"/>
  <c r="S76" i="3"/>
  <c r="S79" i="3"/>
  <c r="S80" i="3"/>
  <c r="S81" i="3"/>
  <c r="S82" i="3"/>
  <c r="S83" i="3"/>
  <c r="S84" i="3"/>
  <c r="S85" i="3"/>
  <c r="S86" i="3"/>
  <c r="S87" i="3"/>
  <c r="S88" i="3"/>
  <c r="S89" i="3"/>
  <c r="S91" i="3"/>
  <c r="S68" i="3"/>
  <c r="P64" i="3"/>
  <c r="E94" i="3"/>
  <c r="F94" i="3"/>
  <c r="G94" i="3"/>
  <c r="H94" i="3"/>
  <c r="J94" i="3"/>
  <c r="K94" i="3"/>
  <c r="Q94" i="3"/>
  <c r="R94" i="3"/>
  <c r="E93" i="3"/>
  <c r="F93" i="3"/>
  <c r="G93" i="3"/>
  <c r="H93" i="3"/>
  <c r="J93" i="3"/>
  <c r="K93" i="3"/>
  <c r="M93" i="3"/>
  <c r="Q93" i="3"/>
  <c r="R93" i="3"/>
  <c r="S53" i="3"/>
  <c r="S54" i="3"/>
  <c r="S56" i="3"/>
  <c r="S57" i="3"/>
  <c r="S58" i="3"/>
  <c r="S59" i="3"/>
  <c r="S52" i="3"/>
  <c r="N65" i="3"/>
  <c r="P65" i="3"/>
  <c r="Q65" i="3"/>
  <c r="H64" i="3"/>
  <c r="L64" i="3"/>
  <c r="N64" i="3"/>
  <c r="Q64" i="3"/>
  <c r="S38" i="3"/>
  <c r="S39" i="3"/>
  <c r="S40" i="3"/>
  <c r="S41" i="3"/>
  <c r="S42" i="3"/>
  <c r="S43" i="3"/>
  <c r="S44" i="3"/>
  <c r="S45" i="3"/>
  <c r="S46" i="3"/>
  <c r="S37" i="3"/>
  <c r="O65" i="3"/>
  <c r="O64" i="3"/>
  <c r="G19" i="3"/>
  <c r="J19" i="3"/>
  <c r="G64" i="3"/>
  <c r="I64" i="3"/>
  <c r="J64" i="3"/>
  <c r="R64" i="3"/>
  <c r="S27" i="3"/>
  <c r="S29" i="3"/>
  <c r="S23" i="3"/>
  <c r="M24" i="3"/>
  <c r="M26" i="3"/>
  <c r="M25" i="3"/>
  <c r="L117" i="3"/>
  <c r="U117" i="3" s="1"/>
  <c r="L55" i="3"/>
  <c r="K24" i="3"/>
  <c r="K30" i="3"/>
  <c r="K47" i="3"/>
  <c r="J55" i="3"/>
  <c r="J62" i="3" s="1"/>
  <c r="H55" i="3"/>
  <c r="G55" i="3"/>
  <c r="G62" i="3" s="1"/>
  <c r="F24" i="3"/>
  <c r="F30" i="3"/>
  <c r="F28" i="3"/>
  <c r="F26" i="3"/>
  <c r="S93" i="3" l="1"/>
  <c r="M35" i="3"/>
  <c r="U94" i="3"/>
  <c r="V94" i="3" s="1"/>
  <c r="K35" i="3"/>
  <c r="K16" i="3" s="1"/>
  <c r="L62" i="3"/>
  <c r="L65" i="3" s="1"/>
  <c r="L18" i="3" s="1"/>
  <c r="H62" i="3"/>
  <c r="H65" i="3" s="1"/>
  <c r="F35" i="3"/>
  <c r="F16" i="3" s="1"/>
  <c r="M34" i="3"/>
  <c r="M17" i="3" s="1"/>
  <c r="U47" i="3"/>
  <c r="V47" i="3" s="1"/>
  <c r="K50" i="3"/>
  <c r="S50" i="3" s="1"/>
  <c r="S24" i="3"/>
  <c r="S30" i="3"/>
  <c r="R65" i="3"/>
  <c r="R19" i="3"/>
  <c r="E65" i="3"/>
  <c r="E18" i="3" s="1"/>
  <c r="K64" i="3"/>
  <c r="Q12" i="3"/>
  <c r="Q13" i="3"/>
  <c r="N13" i="3"/>
  <c r="N12" i="3"/>
  <c r="I65" i="3"/>
  <c r="I18" i="3" s="1"/>
  <c r="I19" i="3"/>
  <c r="O13" i="3"/>
  <c r="O12" i="3"/>
  <c r="P12" i="3"/>
  <c r="P13" i="3"/>
  <c r="J65" i="3"/>
  <c r="J18" i="3" s="1"/>
  <c r="F64" i="3"/>
  <c r="U55" i="3"/>
  <c r="V55" i="3" s="1"/>
  <c r="S49" i="3"/>
  <c r="U49" i="3"/>
  <c r="V49" i="3" s="1"/>
  <c r="U24" i="3"/>
  <c r="W24" i="3" s="1"/>
  <c r="S47" i="3"/>
  <c r="S55" i="3"/>
  <c r="U30" i="3"/>
  <c r="W30" i="3" s="1"/>
  <c r="S26" i="3"/>
  <c r="U26" i="3"/>
  <c r="W26" i="3" s="1"/>
  <c r="S28" i="3"/>
  <c r="U28" i="3"/>
  <c r="W28" i="3" s="1"/>
  <c r="E64" i="3"/>
  <c r="S25" i="3"/>
  <c r="U25" i="3"/>
  <c r="V25" i="3" s="1"/>
  <c r="M19" i="3" l="1"/>
  <c r="M16" i="3"/>
  <c r="H12" i="3"/>
  <c r="H18" i="3"/>
  <c r="S62" i="3"/>
  <c r="W47" i="3"/>
  <c r="M64" i="3"/>
  <c r="S64" i="3" s="1"/>
  <c r="U34" i="3"/>
  <c r="V34" i="3" s="1"/>
  <c r="L12" i="3"/>
  <c r="L13" i="3"/>
  <c r="S34" i="3"/>
  <c r="H13" i="3"/>
  <c r="M65" i="3"/>
  <c r="R12" i="3"/>
  <c r="R13" i="3"/>
  <c r="J13" i="3"/>
  <c r="J12" i="3"/>
  <c r="S35" i="3"/>
  <c r="K19" i="3"/>
  <c r="I12" i="3"/>
  <c r="I13" i="3"/>
  <c r="F65" i="3"/>
  <c r="F18" i="3" s="1"/>
  <c r="F19" i="3"/>
  <c r="E12" i="3"/>
  <c r="E13" i="3"/>
  <c r="W55" i="3"/>
  <c r="U62" i="3"/>
  <c r="W62" i="3" s="1"/>
  <c r="G65" i="3"/>
  <c r="G18" i="3" s="1"/>
  <c r="U50" i="3"/>
  <c r="W50" i="3" s="1"/>
  <c r="K65" i="3"/>
  <c r="K18" i="3" s="1"/>
  <c r="U35" i="3"/>
  <c r="W35" i="3" s="1"/>
  <c r="U64" i="3" l="1"/>
  <c r="V64" i="3" s="1"/>
  <c r="M13" i="3"/>
  <c r="M18" i="3"/>
  <c r="M12" i="3"/>
  <c r="G13" i="3"/>
  <c r="G12" i="3"/>
  <c r="F12" i="3"/>
  <c r="F13" i="3"/>
  <c r="K13" i="3"/>
  <c r="K12" i="3"/>
  <c r="S65" i="3"/>
  <c r="U65" i="3"/>
</calcChain>
</file>

<file path=xl/sharedStrings.xml><?xml version="1.0" encoding="utf-8"?>
<sst xmlns="http://schemas.openxmlformats.org/spreadsheetml/2006/main" count="458" uniqueCount="238">
  <si>
    <t>Fraction of sample analyzed</t>
  </si>
  <si>
    <t>Original Soil Volume (L.)</t>
  </si>
  <si>
    <t>Volume of Light Fraction (mL)</t>
  </si>
  <si>
    <t>Total Weight of sample (g.)</t>
  </si>
  <si>
    <t>Charcoal &gt;2mm (g.)</t>
  </si>
  <si>
    <t>Charred Stuff &gt;2mm (g.)</t>
  </si>
  <si>
    <t>Charred Density (g/l)</t>
  </si>
  <si>
    <t>Seed/Charcoal Ratio (g/g)</t>
  </si>
  <si>
    <t>Wild/Weedy Seed Total</t>
  </si>
  <si>
    <t>Wild Seed/Charcoal Ratio (#/g)</t>
  </si>
  <si>
    <t>Wild Seed/Cereal Ratio (#/g)</t>
  </si>
  <si>
    <t>Species/type</t>
  </si>
  <si>
    <t>Family</t>
  </si>
  <si>
    <t>Economic Seeds</t>
  </si>
  <si>
    <t>Cereals</t>
  </si>
  <si>
    <t>Pulses</t>
  </si>
  <si>
    <t>Fruits, Nuts, etc.</t>
  </si>
  <si>
    <t>Wild Seeds</t>
  </si>
  <si>
    <t>Carbonized Plant Parts</t>
  </si>
  <si>
    <t>Mineralized Seeds</t>
  </si>
  <si>
    <t>Uncarbonized Seeds</t>
  </si>
  <si>
    <t>Uncarbonized Plant Parts</t>
  </si>
  <si>
    <t>Present &gt;2mm</t>
  </si>
  <si>
    <t>Sediment</t>
  </si>
  <si>
    <t>Stone</t>
  </si>
  <si>
    <t xml:space="preserve">Roots </t>
  </si>
  <si>
    <t xml:space="preserve">Insect parts </t>
  </si>
  <si>
    <t xml:space="preserve">Bone </t>
  </si>
  <si>
    <t xml:space="preserve">Shell </t>
  </si>
  <si>
    <t>Ceramic</t>
  </si>
  <si>
    <t>Feather</t>
  </si>
  <si>
    <t>Notes</t>
  </si>
  <si>
    <t>Part</t>
  </si>
  <si>
    <t>X</t>
  </si>
  <si>
    <t>Poaceae</t>
  </si>
  <si>
    <t>Indeterminate</t>
  </si>
  <si>
    <t>Boraginaceae</t>
  </si>
  <si>
    <t>Fabaceae</t>
  </si>
  <si>
    <t>Medicago sp.</t>
  </si>
  <si>
    <t>Malva sp.</t>
  </si>
  <si>
    <t>Malvaceae</t>
  </si>
  <si>
    <t>Cereal indet. (ct.)</t>
  </si>
  <si>
    <t>Moraceae</t>
  </si>
  <si>
    <t>Vitis vinifera (ct.)</t>
  </si>
  <si>
    <t>Vitaceae</t>
  </si>
  <si>
    <t>Unidentifiable</t>
  </si>
  <si>
    <t>seed</t>
  </si>
  <si>
    <t>Unknown</t>
  </si>
  <si>
    <t>small shells</t>
  </si>
  <si>
    <t>Modern wood bark</t>
  </si>
  <si>
    <t>All Ashy-No Botanical Remains</t>
  </si>
  <si>
    <t xml:space="preserve">Large slab of concrete. Soil very ashy. </t>
  </si>
  <si>
    <t>Rumex sp.</t>
  </si>
  <si>
    <t>cf. Cynodon sp.</t>
  </si>
  <si>
    <t>Ficus carica</t>
  </si>
  <si>
    <t>scale</t>
  </si>
  <si>
    <t>?</t>
  </si>
  <si>
    <t>Papaveraceae</t>
  </si>
  <si>
    <t>carbonized cf. rodent droppings</t>
  </si>
  <si>
    <t>Cereals  very bubbly, indicative of how hot/long it burned? Carbonized cf. rodent droppings</t>
  </si>
  <si>
    <t>Glass</t>
  </si>
  <si>
    <t>Wild seed total</t>
  </si>
  <si>
    <t>Identified wild seed total</t>
  </si>
  <si>
    <t>Cereal total count</t>
  </si>
  <si>
    <t>Cereal total weight</t>
  </si>
  <si>
    <t>Pulse total count</t>
  </si>
  <si>
    <t>Pulse total weight</t>
  </si>
  <si>
    <t>Fruits, Nuts, etc. total count</t>
  </si>
  <si>
    <t>Fruits, Nuts, etc. total weight</t>
  </si>
  <si>
    <t>ECONOMIC SEEDS TOTAL COUNT</t>
  </si>
  <si>
    <t>ECONOMIC SEEDS TOTAL WEIGHT</t>
  </si>
  <si>
    <t>Cereal indet (wt.)</t>
  </si>
  <si>
    <t>Vitis vinifera (wt.)</t>
  </si>
  <si>
    <t>During storage, the Prunus type 3 whole seed was broken into 4 pieces</t>
  </si>
  <si>
    <t>cf. Vigna mundo may be sprouted</t>
  </si>
  <si>
    <t>Area</t>
  </si>
  <si>
    <t>Caes Sample #</t>
  </si>
  <si>
    <t>Locus</t>
  </si>
  <si>
    <t>LL</t>
  </si>
  <si>
    <t>cf. Lens culinaris (ct)</t>
  </si>
  <si>
    <t>cf. Lens culinaris (wt)</t>
  </si>
  <si>
    <t>Olea europaea (ct)</t>
  </si>
  <si>
    <t>Olea europaea (wt)</t>
  </si>
  <si>
    <t>Oleaeceae</t>
  </si>
  <si>
    <t>Hordeum vulgare (ct)</t>
  </si>
  <si>
    <t>Hordeum vulgare (wt)</t>
  </si>
  <si>
    <t>Ficus carica (ct)</t>
  </si>
  <si>
    <t>Ficus carica (wt)</t>
  </si>
  <si>
    <t>leaf fragment</t>
  </si>
  <si>
    <t>cf. Gypsophila</t>
  </si>
  <si>
    <t>cf. Hordeum vulgare (ct)</t>
  </si>
  <si>
    <t>cf. Hordeum vulgare (wt)</t>
  </si>
  <si>
    <t>Triticum aestivum/durum (ct)</t>
  </si>
  <si>
    <t>Triticum aestivum/durum (wt)</t>
  </si>
  <si>
    <t>Fabaceae/Pulse (ct)</t>
  </si>
  <si>
    <t>Fabaceae/Pulse (wt)</t>
  </si>
  <si>
    <t>Small grass</t>
  </si>
  <si>
    <t>cf. Carex sp.</t>
  </si>
  <si>
    <t>cf. Echiochilon sp.</t>
  </si>
  <si>
    <t>cf. Vitis vinifera</t>
  </si>
  <si>
    <t>pedicel</t>
  </si>
  <si>
    <t>Triticum aestivum</t>
  </si>
  <si>
    <t>rachis  node</t>
  </si>
  <si>
    <t>Cereal</t>
  </si>
  <si>
    <t>spikelet fork</t>
  </si>
  <si>
    <t>cf. Lolium sp.</t>
  </si>
  <si>
    <t>x</t>
  </si>
  <si>
    <t>unknown</t>
  </si>
  <si>
    <t>endocarp</t>
  </si>
  <si>
    <t>Endocarp (wt.)</t>
  </si>
  <si>
    <t>Asteraceae</t>
  </si>
  <si>
    <t>Gypsophilia sp.</t>
  </si>
  <si>
    <t>cf. pod/capsule</t>
  </si>
  <si>
    <t>Pinus scale fragment</t>
  </si>
  <si>
    <t>Pinaceae</t>
  </si>
  <si>
    <t>Lathyrus sp. (ct)</t>
  </si>
  <si>
    <t>Lathryus sp. (wt)</t>
  </si>
  <si>
    <t>Triticum durum</t>
  </si>
  <si>
    <t>cf. Cereal</t>
  </si>
  <si>
    <t>awn fragment</t>
  </si>
  <si>
    <t>cf. Vicia sp. (ct)</t>
  </si>
  <si>
    <t>cf. Vicia sp. (wt)</t>
  </si>
  <si>
    <t>Medicago</t>
  </si>
  <si>
    <t>pod</t>
  </si>
  <si>
    <t>Asteraceae sp.</t>
  </si>
  <si>
    <t>Glaucium sp.</t>
  </si>
  <si>
    <t>Echiochilon sp.</t>
  </si>
  <si>
    <t>Suaeda sp.</t>
  </si>
  <si>
    <t>Chenopodium sp.</t>
  </si>
  <si>
    <t>Caryophyllaceae sp.</t>
  </si>
  <si>
    <t>cf. Lathyrus sp. (ct)</t>
  </si>
  <si>
    <t>cf. Lathyrus sp. (wt)</t>
  </si>
  <si>
    <t>cf. Pisum sp. (wt)</t>
  </si>
  <si>
    <t>cf. Lagurus ovatus</t>
  </si>
  <si>
    <t>cf. Cynodon dactylon</t>
  </si>
  <si>
    <t>Lolium cf. persicum</t>
  </si>
  <si>
    <t>Agrostemma sp.</t>
  </si>
  <si>
    <t>Bromus sp.</t>
  </si>
  <si>
    <t>Bupleurum subovatum</t>
  </si>
  <si>
    <t>glume base</t>
  </si>
  <si>
    <t>culm node</t>
  </si>
  <si>
    <t>C</t>
  </si>
  <si>
    <t>cf. Pinus sp. (wt)</t>
  </si>
  <si>
    <t>shell</t>
  </si>
  <si>
    <t>cf. Echiochilon fruticosum</t>
  </si>
  <si>
    <t>cf. Melilotus so.</t>
  </si>
  <si>
    <t>TOTAL</t>
  </si>
  <si>
    <t>% by count</t>
  </si>
  <si>
    <t>% by weight</t>
  </si>
  <si>
    <t>Simplified context</t>
  </si>
  <si>
    <t>Floor</t>
  </si>
  <si>
    <t>Installation</t>
  </si>
  <si>
    <t>Tabun</t>
  </si>
  <si>
    <t>H. vulgare</t>
  </si>
  <si>
    <t>Ubiquity (n=15)</t>
  </si>
  <si>
    <t>Chaff/Cereal (n/g)</t>
  </si>
  <si>
    <t>Chaff/Cereal (n/n)</t>
  </si>
  <si>
    <t>Econ seed/Charcoal (g/g)</t>
  </si>
  <si>
    <t>chaff total</t>
  </si>
  <si>
    <t>Fill</t>
  </si>
  <si>
    <t>cf. Epilobium histum</t>
  </si>
  <si>
    <t>rachis node</t>
  </si>
  <si>
    <t>rachis segment</t>
  </si>
  <si>
    <t>Time Period</t>
  </si>
  <si>
    <t>Byzatine/Fatimid?</t>
  </si>
  <si>
    <t>Abbasid</t>
  </si>
  <si>
    <t>Abbasid/Fatimid</t>
  </si>
  <si>
    <t>Fatimid</t>
  </si>
  <si>
    <t xml:space="preserve"> small branch nub in 2mm charcoal, like in 20657-&gt; kindling?</t>
  </si>
  <si>
    <t>lots of sand, small frags of ceramic and glass in 1mm fraction</t>
  </si>
  <si>
    <t>Wood Charcoal</t>
  </si>
  <si>
    <t>Date wood analyzed</t>
  </si>
  <si>
    <t>&gt;2mm charcoal weight</t>
  </si>
  <si>
    <t>ID'ed weight</t>
  </si>
  <si>
    <t>ID'ed count</t>
  </si>
  <si>
    <t>Angiosperm</t>
  </si>
  <si>
    <t>Angio indet (ct)</t>
  </si>
  <si>
    <t>Angio indet (wt)</t>
  </si>
  <si>
    <t>Diffuse porous (ct)</t>
  </si>
  <si>
    <t>Diffuse porous (wt)</t>
  </si>
  <si>
    <t>Semi-ring porous (ct)</t>
  </si>
  <si>
    <t>Semi-ring porous (wt)</t>
  </si>
  <si>
    <t>Quercus/Fagus sp. (ct)</t>
  </si>
  <si>
    <t>Fagaceae</t>
  </si>
  <si>
    <t>Quercus/Fagus sp. (wt)</t>
  </si>
  <si>
    <t>Quercus calliprinos (ct)</t>
  </si>
  <si>
    <t>Quercus calliprinos (wt)</t>
  </si>
  <si>
    <t>cf. Quercus calliprinos (ct)</t>
  </si>
  <si>
    <t>cf. Quercus calliprinos (wt)</t>
  </si>
  <si>
    <t>cf. Olea sp. (ct)</t>
  </si>
  <si>
    <t>Oleaceae</t>
  </si>
  <si>
    <t>cf. Olea sp. (wt)</t>
  </si>
  <si>
    <t>Fagaceae indet. (ct)</t>
  </si>
  <si>
    <t>Fagaceae indet. (wt)</t>
  </si>
  <si>
    <t>Rhamnus sp. (ct)</t>
  </si>
  <si>
    <t>Rhamnaceae</t>
  </si>
  <si>
    <t>Rhamnus sp. (wt)</t>
  </si>
  <si>
    <t>cf. Ulmus/Celtis sp. (ct)</t>
  </si>
  <si>
    <t>Ulmaceae</t>
  </si>
  <si>
    <t>cf. Ulmus/Celtis sp. (wt)</t>
  </si>
  <si>
    <t>TOTAL (CT)</t>
  </si>
  <si>
    <t>TOTAL (WT)</t>
  </si>
  <si>
    <t>Gymnosperm</t>
  </si>
  <si>
    <t>Gymno indet (ct)</t>
  </si>
  <si>
    <t>Gymno indet (wt)</t>
  </si>
  <si>
    <t>cf. Pinus sp. (ct)</t>
  </si>
  <si>
    <t>Pinus sp. (ct)</t>
  </si>
  <si>
    <t>Pinus sp. (wt)</t>
  </si>
  <si>
    <t>Pinus pinea/halepensis (ct)</t>
  </si>
  <si>
    <t>Pinus pinea/halepensis (wt)</t>
  </si>
  <si>
    <t>Indet. (ct)</t>
  </si>
  <si>
    <t>Indet. (wt)</t>
  </si>
  <si>
    <t>Sample No.</t>
  </si>
  <si>
    <t>C/TP</t>
  </si>
  <si>
    <t xml:space="preserve">Context </t>
  </si>
  <si>
    <t>floor</t>
  </si>
  <si>
    <t>tabun</t>
  </si>
  <si>
    <t>installation</t>
  </si>
  <si>
    <t>Description</t>
  </si>
  <si>
    <t>mid-room north floor</t>
  </si>
  <si>
    <t>mid-room south floor</t>
  </si>
  <si>
    <t>workyard tabun</t>
  </si>
  <si>
    <t>workyard upper floor</t>
  </si>
  <si>
    <t>floor between tabun and installation</t>
  </si>
  <si>
    <t>plaster floor north</t>
  </si>
  <si>
    <t>Phase</t>
  </si>
  <si>
    <t>Period</t>
  </si>
  <si>
    <t>Date sample sorted</t>
  </si>
  <si>
    <t>Ubiquity</t>
  </si>
  <si>
    <t>LL total</t>
  </si>
  <si>
    <t>TP total</t>
  </si>
  <si>
    <t>NOTES</t>
  </si>
  <si>
    <t>"types" or numbered categories specific to each sample; i.e. Gymno type 1 is not nec same type in all samples</t>
  </si>
  <si>
    <t>nothing identifiable - very small and fragmented</t>
  </si>
  <si>
    <t>Too small for ID</t>
  </si>
  <si>
    <t>Too small for ID. Just crumbles</t>
  </si>
  <si>
    <t>Too small to snap</t>
  </si>
  <si>
    <t>too small to snap, very dirty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</si>
</sst>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m/d/yy;@"/>
  </numFmts>
  <fonts count="17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4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10">
    <xf numFmtId="0" fontId="0" fillId="0" borderId="0" xfId="0"/>
    <xf numFmtId="164" fontId="1" fillId="0" borderId="0" xfId="0" applyNumberFormat="1" applyFont="1" applyFill="1"/>
    <xf numFmtId="164" fontId="1" fillId="0" borderId="0" xfId="0" applyNumberFormat="1" applyFont="1" applyFill="1" applyBorder="1"/>
    <xf numFmtId="1" fontId="1" fillId="0" borderId="3" xfId="0" applyNumberFormat="1" applyFont="1" applyFill="1" applyBorder="1"/>
    <xf numFmtId="1" fontId="0" fillId="0" borderId="3" xfId="0" applyNumberFormat="1" applyFont="1" applyFill="1" applyBorder="1"/>
    <xf numFmtId="164" fontId="0" fillId="0" borderId="0" xfId="0" applyNumberFormat="1" applyFont="1" applyFill="1"/>
    <xf numFmtId="164" fontId="4" fillId="0" borderId="3" xfId="0" applyNumberFormat="1" applyFont="1" applyFill="1" applyBorder="1"/>
    <xf numFmtId="1" fontId="5" fillId="0" borderId="3" xfId="0" applyNumberFormat="1" applyFont="1" applyFill="1" applyBorder="1"/>
    <xf numFmtId="164" fontId="4" fillId="0" borderId="8" xfId="0" applyNumberFormat="1" applyFont="1" applyBorder="1"/>
    <xf numFmtId="164" fontId="0" fillId="0" borderId="0" xfId="0" applyNumberFormat="1" applyFont="1" applyFill="1" applyBorder="1"/>
    <xf numFmtId="164" fontId="0" fillId="0" borderId="4" xfId="0" applyNumberFormat="1" applyFont="1" applyFill="1" applyBorder="1"/>
    <xf numFmtId="164" fontId="0" fillId="0" borderId="7" xfId="0" applyNumberFormat="1" applyFont="1" applyBorder="1"/>
    <xf numFmtId="164" fontId="0" fillId="0" borderId="0" xfId="0" applyNumberFormat="1" applyFont="1" applyBorder="1"/>
    <xf numFmtId="164" fontId="0" fillId="0" borderId="0" xfId="0" applyNumberFormat="1" applyFont="1"/>
    <xf numFmtId="1" fontId="0" fillId="0" borderId="0" xfId="0" applyNumberFormat="1" applyFont="1" applyFill="1"/>
    <xf numFmtId="1" fontId="0" fillId="0" borderId="0" xfId="0" applyNumberFormat="1" applyFont="1" applyFill="1" applyBorder="1"/>
    <xf numFmtId="1" fontId="0" fillId="0" borderId="4" xfId="0" applyNumberFormat="1" applyFont="1" applyFill="1" applyBorder="1"/>
    <xf numFmtId="1" fontId="0" fillId="0" borderId="0" xfId="0" applyNumberFormat="1" applyFont="1"/>
    <xf numFmtId="164" fontId="7" fillId="0" borderId="3" xfId="0" applyNumberFormat="1" applyFont="1" applyFill="1" applyBorder="1"/>
    <xf numFmtId="9" fontId="0" fillId="0" borderId="0" xfId="647" applyFont="1"/>
    <xf numFmtId="9" fontId="0" fillId="2" borderId="1" xfId="647" applyFont="1" applyFill="1" applyBorder="1"/>
    <xf numFmtId="9" fontId="0" fillId="0" borderId="1" xfId="647" applyFont="1" applyBorder="1"/>
    <xf numFmtId="9" fontId="0" fillId="0" borderId="0" xfId="647" applyFont="1" applyFill="1"/>
    <xf numFmtId="9" fontId="0" fillId="0" borderId="0" xfId="647" applyFont="1" applyAlignment="1">
      <alignment horizontal="center"/>
    </xf>
    <xf numFmtId="9" fontId="1" fillId="0" borderId="0" xfId="647" applyFont="1" applyFill="1"/>
    <xf numFmtId="2" fontId="0" fillId="0" borderId="0" xfId="0" applyNumberFormat="1" applyFont="1" applyFill="1" applyBorder="1"/>
    <xf numFmtId="165" fontId="0" fillId="0" borderId="0" xfId="0" applyNumberFormat="1" applyFont="1" applyFill="1" applyBorder="1"/>
    <xf numFmtId="165" fontId="0" fillId="0" borderId="4" xfId="0" applyNumberFormat="1" applyFont="1" applyFill="1" applyBorder="1"/>
    <xf numFmtId="164" fontId="0" fillId="2" borderId="1" xfId="0" applyNumberFormat="1" applyFont="1" applyFill="1" applyBorder="1"/>
    <xf numFmtId="164" fontId="0" fillId="2" borderId="6" xfId="0" applyNumberFormat="1" applyFont="1" applyFill="1" applyBorder="1"/>
    <xf numFmtId="164" fontId="0" fillId="0" borderId="1" xfId="0" applyNumberFormat="1" applyFont="1" applyFill="1" applyBorder="1"/>
    <xf numFmtId="164" fontId="0" fillId="0" borderId="6" xfId="0" applyNumberFormat="1" applyFont="1" applyFill="1" applyBorder="1"/>
    <xf numFmtId="164" fontId="0" fillId="0" borderId="3" xfId="0" applyNumberFormat="1" applyFont="1" applyFill="1" applyBorder="1"/>
    <xf numFmtId="164" fontId="0" fillId="0" borderId="3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/>
    </xf>
    <xf numFmtId="164" fontId="0" fillId="0" borderId="4" xfId="0" applyNumberFormat="1" applyFont="1" applyFill="1" applyBorder="1" applyAlignment="1">
      <alignment horizontal="center"/>
    </xf>
    <xf numFmtId="164" fontId="0" fillId="0" borderId="4" xfId="0" applyNumberFormat="1" applyFont="1" applyBorder="1"/>
    <xf numFmtId="164" fontId="0" fillId="3" borderId="0" xfId="0" applyNumberFormat="1" applyFont="1" applyFill="1"/>
    <xf numFmtId="164" fontId="0" fillId="0" borderId="9" xfId="0" applyNumberFormat="1" applyFont="1" applyFill="1" applyBorder="1"/>
    <xf numFmtId="1" fontId="0" fillId="0" borderId="9" xfId="0" applyNumberFormat="1" applyFont="1" applyFill="1" applyBorder="1"/>
    <xf numFmtId="1" fontId="9" fillId="0" borderId="0" xfId="0" applyNumberFormat="1" applyFont="1" applyFill="1" applyBorder="1"/>
    <xf numFmtId="1" fontId="9" fillId="0" borderId="4" xfId="0" applyNumberFormat="1" applyFont="1" applyFill="1" applyBorder="1"/>
    <xf numFmtId="2" fontId="0" fillId="0" borderId="0" xfId="647" applyNumberFormat="1" applyFont="1" applyFill="1"/>
    <xf numFmtId="1" fontId="10" fillId="0" borderId="3" xfId="0" applyNumberFormat="1" applyFont="1" applyFill="1" applyBorder="1" applyAlignment="1">
      <alignment horizontal="left"/>
    </xf>
    <xf numFmtId="1" fontId="0" fillId="0" borderId="7" xfId="0" applyNumberFormat="1" applyFont="1" applyFill="1" applyBorder="1"/>
    <xf numFmtId="164" fontId="0" fillId="0" borderId="7" xfId="0" applyNumberFormat="1" applyFont="1" applyFill="1" applyBorder="1"/>
    <xf numFmtId="164" fontId="10" fillId="0" borderId="3" xfId="0" applyNumberFormat="1" applyFont="1" applyFill="1" applyBorder="1" applyAlignment="1">
      <alignment horizontal="left"/>
    </xf>
    <xf numFmtId="165" fontId="10" fillId="0" borderId="3" xfId="0" applyNumberFormat="1" applyFont="1" applyFill="1" applyBorder="1" applyAlignment="1">
      <alignment horizontal="left"/>
    </xf>
    <xf numFmtId="165" fontId="0" fillId="0" borderId="7" xfId="0" applyNumberFormat="1" applyFont="1" applyFill="1" applyBorder="1"/>
    <xf numFmtId="165" fontId="0" fillId="0" borderId="0" xfId="0" applyNumberFormat="1" applyFont="1" applyFill="1"/>
    <xf numFmtId="164" fontId="10" fillId="0" borderId="3" xfId="0" applyNumberFormat="1" applyFont="1" applyFill="1" applyBorder="1"/>
    <xf numFmtId="164" fontId="10" fillId="2" borderId="2" xfId="0" applyNumberFormat="1" applyFont="1" applyFill="1" applyBorder="1"/>
    <xf numFmtId="164" fontId="10" fillId="2" borderId="1" xfId="0" applyNumberFormat="1" applyFont="1" applyFill="1" applyBorder="1"/>
    <xf numFmtId="164" fontId="10" fillId="2" borderId="5" xfId="0" applyNumberFormat="1" applyFont="1" applyFill="1" applyBorder="1"/>
    <xf numFmtId="164" fontId="10" fillId="2" borderId="6" xfId="0" applyNumberFormat="1" applyFont="1" applyFill="1" applyBorder="1"/>
    <xf numFmtId="164" fontId="0" fillId="2" borderId="8" xfId="0" applyNumberFormat="1" applyFont="1" applyFill="1" applyBorder="1"/>
    <xf numFmtId="164" fontId="0" fillId="2" borderId="2" xfId="0" applyNumberFormat="1" applyFont="1" applyFill="1" applyBorder="1"/>
    <xf numFmtId="164" fontId="0" fillId="0" borderId="2" xfId="0" applyNumberFormat="1" applyFont="1" applyFill="1" applyBorder="1"/>
    <xf numFmtId="164" fontId="10" fillId="0" borderId="5" xfId="0" applyNumberFormat="1" applyFont="1" applyFill="1" applyBorder="1"/>
    <xf numFmtId="164" fontId="0" fillId="0" borderId="1" xfId="0" applyNumberFormat="1" applyFont="1" applyBorder="1"/>
    <xf numFmtId="164" fontId="0" fillId="0" borderId="8" xfId="0" applyNumberFormat="1" applyFont="1" applyBorder="1"/>
    <xf numFmtId="164" fontId="1" fillId="0" borderId="3" xfId="0" applyNumberFormat="1" applyFont="1" applyFill="1" applyBorder="1"/>
    <xf numFmtId="164" fontId="1" fillId="0" borderId="4" xfId="0" applyNumberFormat="1" applyFont="1" applyFill="1" applyBorder="1"/>
    <xf numFmtId="1" fontId="1" fillId="0" borderId="0" xfId="0" applyNumberFormat="1" applyFont="1" applyFill="1" applyBorder="1"/>
    <xf numFmtId="1" fontId="1" fillId="0" borderId="9" xfId="0" applyNumberFormat="1" applyFont="1" applyFill="1" applyBorder="1"/>
    <xf numFmtId="164" fontId="10" fillId="2" borderId="8" xfId="0" applyNumberFormat="1" applyFont="1" applyFill="1" applyBorder="1"/>
    <xf numFmtId="9" fontId="10" fillId="2" borderId="1" xfId="647" applyFont="1" applyFill="1" applyBorder="1"/>
    <xf numFmtId="1" fontId="11" fillId="0" borderId="3" xfId="0" applyNumberFormat="1" applyFont="1" applyFill="1" applyBorder="1"/>
    <xf numFmtId="1" fontId="10" fillId="0" borderId="3" xfId="0" applyNumberFormat="1" applyFont="1" applyFill="1" applyBorder="1"/>
    <xf numFmtId="164" fontId="0" fillId="0" borderId="9" xfId="0" applyNumberFormat="1" applyFont="1" applyFill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9" xfId="0" applyNumberFormat="1" applyFont="1" applyBorder="1"/>
    <xf numFmtId="2" fontId="0" fillId="0" borderId="4" xfId="0" applyNumberFormat="1" applyFont="1" applyFill="1" applyBorder="1"/>
    <xf numFmtId="2" fontId="0" fillId="0" borderId="0" xfId="0" applyNumberFormat="1" applyFont="1" applyFill="1"/>
    <xf numFmtId="1" fontId="0" fillId="0" borderId="0" xfId="647" applyNumberFormat="1" applyFont="1" applyFill="1"/>
    <xf numFmtId="2" fontId="0" fillId="0" borderId="3" xfId="0" applyNumberFormat="1" applyFont="1" applyFill="1" applyBorder="1"/>
    <xf numFmtId="2" fontId="0" fillId="0" borderId="9" xfId="0" applyNumberFormat="1" applyFont="1" applyFill="1" applyBorder="1"/>
    <xf numFmtId="2" fontId="0" fillId="0" borderId="0" xfId="0" applyNumberFormat="1" applyFont="1"/>
    <xf numFmtId="1" fontId="0" fillId="0" borderId="7" xfId="0" applyNumberFormat="1" applyFont="1" applyBorder="1"/>
    <xf numFmtId="1" fontId="0" fillId="0" borderId="0" xfId="647" applyNumberFormat="1" applyFont="1"/>
    <xf numFmtId="164" fontId="0" fillId="0" borderId="0" xfId="647" applyNumberFormat="1" applyFont="1"/>
    <xf numFmtId="1" fontId="4" fillId="0" borderId="3" xfId="0" applyNumberFormat="1" applyFont="1" applyFill="1" applyBorder="1"/>
    <xf numFmtId="1" fontId="0" fillId="0" borderId="1" xfId="0" applyNumberFormat="1" applyFont="1" applyFill="1" applyBorder="1"/>
    <xf numFmtId="164" fontId="12" fillId="0" borderId="0" xfId="0" applyNumberFormat="1" applyFont="1" applyFill="1" applyBorder="1" applyAlignment="1">
      <alignment horizontal="left"/>
    </xf>
    <xf numFmtId="0" fontId="13" fillId="0" borderId="10" xfId="0" applyFont="1" applyBorder="1"/>
    <xf numFmtId="164" fontId="13" fillId="0" borderId="10" xfId="0" applyNumberFormat="1" applyFont="1" applyBorder="1"/>
    <xf numFmtId="0" fontId="13" fillId="4" borderId="1" xfId="0" applyFont="1" applyFill="1" applyBorder="1"/>
    <xf numFmtId="0" fontId="13" fillId="4" borderId="11" xfId="0" applyFont="1" applyFill="1" applyBorder="1"/>
    <xf numFmtId="0" fontId="13" fillId="4" borderId="12" xfId="0" applyFont="1" applyFill="1" applyBorder="1"/>
    <xf numFmtId="0" fontId="13" fillId="4" borderId="13" xfId="0" applyFont="1" applyFill="1" applyBorder="1"/>
    <xf numFmtId="164" fontId="14" fillId="0" borderId="0" xfId="0" applyNumberFormat="1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0" applyFont="1" applyBorder="1"/>
    <xf numFmtId="0" fontId="15" fillId="0" borderId="0" xfId="0" applyFont="1" applyBorder="1"/>
    <xf numFmtId="0" fontId="13" fillId="0" borderId="0" xfId="0" applyFont="1"/>
    <xf numFmtId="0" fontId="13" fillId="0" borderId="0" xfId="0" applyFont="1" applyFill="1"/>
    <xf numFmtId="1" fontId="12" fillId="0" borderId="3" xfId="0" applyNumberFormat="1" applyFont="1" applyBorder="1" applyAlignment="1">
      <alignment horizontal="left"/>
    </xf>
    <xf numFmtId="10" fontId="13" fillId="0" borderId="0" xfId="647" applyNumberFormat="1" applyFont="1"/>
    <xf numFmtId="164" fontId="12" fillId="0" borderId="3" xfId="0" applyNumberFormat="1" applyFont="1" applyBorder="1" applyAlignment="1">
      <alignment horizontal="left"/>
    </xf>
    <xf numFmtId="166" fontId="12" fillId="0" borderId="3" xfId="0" applyNumberFormat="1" applyFont="1" applyBorder="1" applyAlignment="1">
      <alignment horizontal="left"/>
    </xf>
    <xf numFmtId="14" fontId="13" fillId="0" borderId="0" xfId="0" applyNumberFormat="1" applyFont="1" applyFill="1"/>
    <xf numFmtId="164" fontId="13" fillId="0" borderId="0" xfId="0" applyNumberFormat="1" applyFont="1" applyBorder="1"/>
    <xf numFmtId="164" fontId="13" fillId="0" borderId="0" xfId="0" applyNumberFormat="1" applyFont="1" applyFill="1" applyBorder="1"/>
    <xf numFmtId="164" fontId="13" fillId="4" borderId="1" xfId="0" applyNumberFormat="1" applyFont="1" applyFill="1" applyBorder="1"/>
    <xf numFmtId="164" fontId="13" fillId="4" borderId="12" xfId="0" applyNumberFormat="1" applyFont="1" applyFill="1" applyBorder="1"/>
    <xf numFmtId="10" fontId="13" fillId="0" borderId="0" xfId="647" applyNumberFormat="1" applyFont="1" applyFill="1"/>
    <xf numFmtId="164" fontId="16" fillId="0" borderId="0" xfId="0" applyNumberFormat="1" applyFont="1" applyFill="1"/>
    <xf numFmtId="14" fontId="13" fillId="0" borderId="0" xfId="0" applyNumberFormat="1" applyFont="1" applyFill="1" applyBorder="1"/>
    <xf numFmtId="164" fontId="13" fillId="0" borderId="0" xfId="0" applyNumberFormat="1" applyFont="1" applyFill="1"/>
  </cellXfs>
  <cellStyles count="6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Normal" xfId="0" builtinId="0"/>
    <cellStyle name="Percent" xfId="647" builtinId="5"/>
  </cellStyles>
  <dxfs count="0"/>
  <tableStyles count="0" defaultTableStyle="TableStyleMedium9" defaultPivotStyle="PivotStyleMedium4"/>
  <colors>
    <mruColors>
      <color rgb="FFFFCC00"/>
      <color rgb="FF9966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for/OneDrive/Desktop/Dissertation/Caesarea%20Islamic%20wood%20charcoal%20data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ome calc'ns"/>
      <sheetName val="Sheet1"/>
    </sheetNames>
    <sheetDataSet>
      <sheetData sheetId="0">
        <row r="1">
          <cell r="C1">
            <v>20657</v>
          </cell>
          <cell r="D1">
            <v>20656</v>
          </cell>
          <cell r="E1">
            <v>20652</v>
          </cell>
          <cell r="F1">
            <v>20654</v>
          </cell>
          <cell r="G1">
            <v>20655</v>
          </cell>
          <cell r="H1">
            <v>20650</v>
          </cell>
          <cell r="I1">
            <v>20649</v>
          </cell>
          <cell r="J1">
            <v>20651</v>
          </cell>
          <cell r="K1">
            <v>20648</v>
          </cell>
          <cell r="L1">
            <v>20653</v>
          </cell>
          <cell r="M1">
            <v>3725</v>
          </cell>
          <cell r="N1">
            <v>3726</v>
          </cell>
          <cell r="O1">
            <v>3727</v>
          </cell>
          <cell r="P1">
            <v>3723</v>
          </cell>
          <cell r="Q1">
            <v>3724</v>
          </cell>
        </row>
        <row r="2">
          <cell r="W2" t="str">
            <v>LL</v>
          </cell>
          <cell r="X2" t="str">
            <v>TP</v>
          </cell>
          <cell r="AB2" t="str">
            <v>LL</v>
          </cell>
          <cell r="AC2" t="str">
            <v>TP</v>
          </cell>
          <cell r="AG2" t="str">
            <v>LL</v>
          </cell>
          <cell r="AH2" t="str">
            <v>TP</v>
          </cell>
        </row>
        <row r="3">
          <cell r="V3" t="str">
            <v>ave angio</v>
          </cell>
          <cell r="W3">
            <v>0.83729999999999993</v>
          </cell>
          <cell r="X3">
            <v>4.2799999999999998E-2</v>
          </cell>
          <cell r="AA3" t="str">
            <v>Angiosperm</v>
          </cell>
          <cell r="AB3">
            <v>8.3729999999999993</v>
          </cell>
          <cell r="AC3">
            <v>0.214</v>
          </cell>
          <cell r="AF3" t="str">
            <v>angio</v>
          </cell>
          <cell r="AG3">
            <v>0.28778140573981781</v>
          </cell>
          <cell r="AH3">
            <v>9.2428626959789213E-3</v>
          </cell>
        </row>
        <row r="4">
          <cell r="V4" t="str">
            <v>ave gymno</v>
          </cell>
          <cell r="W4">
            <v>0.68180000000000007</v>
          </cell>
          <cell r="X4">
            <v>2.9894000000000003</v>
          </cell>
          <cell r="AA4" t="str">
            <v>Gymnosperm</v>
          </cell>
          <cell r="AB4">
            <v>6.8180000000000005</v>
          </cell>
          <cell r="AC4">
            <v>14.947000000000001</v>
          </cell>
          <cell r="AF4" t="str">
            <v>gymno</v>
          </cell>
          <cell r="AG4">
            <v>0.23433579652861319</v>
          </cell>
          <cell r="AH4">
            <v>0.64557508746166803</v>
          </cell>
        </row>
        <row r="5">
          <cell r="V5" t="str">
            <v>ave indet</v>
          </cell>
          <cell r="W5">
            <v>1.3903999999999999</v>
          </cell>
          <cell r="X5">
            <v>1.5984000000000003</v>
          </cell>
          <cell r="AA5" t="str">
            <v>Indeterminate</v>
          </cell>
          <cell r="AB5">
            <v>13.903999999999998</v>
          </cell>
          <cell r="AC5">
            <v>7.9920000000000009</v>
          </cell>
          <cell r="AF5" t="str">
            <v>indet</v>
          </cell>
          <cell r="AG5">
            <v>0.47788279773156894</v>
          </cell>
          <cell r="AH5">
            <v>0.34518204984235307</v>
          </cell>
        </row>
        <row r="71">
          <cell r="A71" t="str">
            <v>Angio total weight</v>
          </cell>
          <cell r="C71">
            <v>3.3180000000000001</v>
          </cell>
          <cell r="D71">
            <v>0</v>
          </cell>
          <cell r="E71">
            <v>0.24299999999999999</v>
          </cell>
          <cell r="F71">
            <v>3.5990000000000002</v>
          </cell>
          <cell r="G71">
            <v>0.14700000000000002</v>
          </cell>
          <cell r="H71">
            <v>0.20900000000000002</v>
          </cell>
          <cell r="I71">
            <v>0.30199999999999999</v>
          </cell>
          <cell r="J71">
            <v>0</v>
          </cell>
          <cell r="K71">
            <v>0.25700000000000001</v>
          </cell>
          <cell r="L71">
            <v>0.29799999999999999</v>
          </cell>
          <cell r="M71">
            <v>0.17899999999999999</v>
          </cell>
          <cell r="N71">
            <v>0</v>
          </cell>
          <cell r="O71">
            <v>3.5000000000000003E-2</v>
          </cell>
          <cell r="P71">
            <v>0</v>
          </cell>
          <cell r="Q71">
            <v>0</v>
          </cell>
        </row>
        <row r="73">
          <cell r="A73" t="str">
            <v>Gymno total weight</v>
          </cell>
          <cell r="C73">
            <v>1.9E-2</v>
          </cell>
          <cell r="D73">
            <v>2.9259999999999997</v>
          </cell>
          <cell r="E73">
            <v>3.7629999999999999</v>
          </cell>
          <cell r="F73">
            <v>8.5000000000000006E-2</v>
          </cell>
          <cell r="G73">
            <v>0</v>
          </cell>
          <cell r="H73">
            <v>0</v>
          </cell>
          <cell r="I73">
            <v>2.5000000000000001E-2</v>
          </cell>
          <cell r="J73">
            <v>0</v>
          </cell>
          <cell r="K73">
            <v>0</v>
          </cell>
          <cell r="L73">
            <v>0</v>
          </cell>
          <cell r="M73">
            <v>10.931000000000001</v>
          </cell>
          <cell r="N73">
            <v>0.27100000000000002</v>
          </cell>
          <cell r="O73">
            <v>0.52300000000000002</v>
          </cell>
          <cell r="P73">
            <v>0.11899999999999999</v>
          </cell>
          <cell r="Q73">
            <v>3.1029999999999998</v>
          </cell>
        </row>
        <row r="75">
          <cell r="A75" t="str">
            <v>Indet total weight</v>
          </cell>
          <cell r="C75">
            <v>3.6360000000000001</v>
          </cell>
          <cell r="D75">
            <v>1.845</v>
          </cell>
          <cell r="E75">
            <v>2.9689999999999999</v>
          </cell>
          <cell r="F75">
            <v>3.2</v>
          </cell>
          <cell r="G75">
            <v>6.7000000000000004E-2</v>
          </cell>
          <cell r="H75">
            <v>0.71499999999999997</v>
          </cell>
          <cell r="I75">
            <v>0.17</v>
          </cell>
          <cell r="J75">
            <v>0</v>
          </cell>
          <cell r="K75">
            <v>0.36599999999999999</v>
          </cell>
          <cell r="L75">
            <v>0.93600000000000005</v>
          </cell>
          <cell r="M75">
            <v>5.2519999999999998</v>
          </cell>
          <cell r="N75">
            <v>1.264</v>
          </cell>
          <cell r="O75">
            <v>0.86499999999999999</v>
          </cell>
          <cell r="P75">
            <v>0.34399999999999997</v>
          </cell>
          <cell r="Q75">
            <v>0.26700000000000002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45"/>
  <sheetViews>
    <sheetView showRuler="0" zoomScale="70" zoomScaleNormal="70" workbookViewId="0">
      <pane ySplit="1" topLeftCell="A21" activePane="bottomLeft" state="frozen"/>
      <selection pane="bottomLeft" sqref="A1:B1048576"/>
    </sheetView>
  </sheetViews>
  <sheetFormatPr defaultColWidth="11" defaultRowHeight="15.6" x14ac:dyDescent="0.3"/>
  <cols>
    <col min="1" max="1" width="36.19921875" style="32" customWidth="1"/>
    <col min="2" max="2" width="16.69921875" style="9" customWidth="1"/>
    <col min="3" max="3" width="15.19921875" style="10" customWidth="1"/>
    <col min="4" max="13" width="15.19921875" style="9" customWidth="1"/>
    <col min="14" max="14" width="15.19921875" style="38" customWidth="1"/>
    <col min="15" max="18" width="15.19921875" style="9" customWidth="1"/>
    <col min="19" max="19" width="11" style="9" customWidth="1"/>
    <col min="20" max="21" width="11" style="5"/>
    <col min="22" max="22" width="8.296875" style="22" bestFit="1" customWidth="1"/>
    <col min="23" max="24" width="12" style="5" customWidth="1"/>
    <col min="25" max="25" width="14.69921875" style="5" customWidth="1"/>
    <col min="26" max="26" width="12.19921875" style="5" customWidth="1"/>
    <col min="27" max="32" width="12" style="5" customWidth="1"/>
    <col min="33" max="33" width="13.296875" style="5" customWidth="1"/>
    <col min="34" max="38" width="12" style="5" customWidth="1"/>
    <col min="39" max="39" width="12" style="1" customWidth="1"/>
    <col min="40" max="49" width="12" style="5" customWidth="1"/>
    <col min="50" max="57" width="12" style="1" customWidth="1"/>
    <col min="58" max="59" width="12" style="5" customWidth="1"/>
    <col min="60" max="60" width="12" style="1" customWidth="1"/>
    <col min="61" max="77" width="12" style="5" customWidth="1"/>
    <col min="78" max="78" width="12" style="9" customWidth="1"/>
    <col min="79" max="79" width="12" style="5" customWidth="1"/>
    <col min="80" max="80" width="12" style="9" customWidth="1"/>
    <col min="81" max="81" width="12" style="5" customWidth="1"/>
    <col min="82" max="85" width="12" style="9" customWidth="1"/>
    <col min="86" max="86" width="12" style="5" customWidth="1"/>
    <col min="87" max="87" width="12" style="1" customWidth="1"/>
    <col min="88" max="88" width="12" style="5" customWidth="1"/>
    <col min="89" max="89" width="12" style="1" customWidth="1"/>
    <col min="90" max="92" width="12" style="5" customWidth="1"/>
    <col min="93" max="93" width="12" style="1" customWidth="1"/>
    <col min="94" max="95" width="12" style="5" customWidth="1"/>
    <col min="96" max="96" width="12" style="1" customWidth="1"/>
    <col min="97" max="106" width="12" style="5" customWidth="1"/>
    <col min="107" max="107" width="12" style="1" customWidth="1"/>
    <col min="108" max="111" width="12" style="5" customWidth="1"/>
    <col min="112" max="114" width="13" style="5" customWidth="1"/>
    <col min="115" max="115" width="13" style="1" customWidth="1"/>
    <col min="116" max="123" width="13" style="5" customWidth="1"/>
    <col min="124" max="153" width="13" style="13" customWidth="1"/>
    <col min="154" max="154" width="13" style="11" customWidth="1"/>
    <col min="155" max="1025" width="13" style="13" customWidth="1"/>
    <col min="1026" max="10025" width="14" style="13" customWidth="1"/>
    <col min="10026" max="16384" width="15" style="13" customWidth="1"/>
  </cols>
  <sheetData>
    <row r="1" spans="1:22" s="14" customFormat="1" x14ac:dyDescent="0.3">
      <c r="A1" s="43" t="s">
        <v>76</v>
      </c>
      <c r="B1" s="15"/>
      <c r="C1" s="16"/>
      <c r="D1" s="15">
        <v>20656</v>
      </c>
      <c r="E1" s="15">
        <v>20655</v>
      </c>
      <c r="F1" s="15">
        <v>20654</v>
      </c>
      <c r="G1" s="15">
        <v>20653</v>
      </c>
      <c r="H1" s="15">
        <v>20652</v>
      </c>
      <c r="I1" s="15">
        <v>20650</v>
      </c>
      <c r="J1" s="15">
        <v>20648</v>
      </c>
      <c r="K1" s="15">
        <v>20649</v>
      </c>
      <c r="L1" s="15">
        <v>20651</v>
      </c>
      <c r="M1" s="15">
        <v>20657</v>
      </c>
      <c r="N1" s="39">
        <v>3727</v>
      </c>
      <c r="O1" s="15">
        <v>3726</v>
      </c>
      <c r="P1" s="15">
        <v>3725</v>
      </c>
      <c r="Q1" s="15">
        <v>3724</v>
      </c>
      <c r="R1" s="15">
        <v>3723</v>
      </c>
      <c r="S1" s="44"/>
      <c r="V1" s="22"/>
    </row>
    <row r="2" spans="1:22" s="14" customFormat="1" x14ac:dyDescent="0.3">
      <c r="A2" s="43" t="s">
        <v>75</v>
      </c>
      <c r="B2" s="15"/>
      <c r="C2" s="16"/>
      <c r="D2" s="15" t="s">
        <v>78</v>
      </c>
      <c r="E2" s="15" t="s">
        <v>78</v>
      </c>
      <c r="F2" s="15" t="s">
        <v>78</v>
      </c>
      <c r="G2" s="15" t="s">
        <v>78</v>
      </c>
      <c r="H2" s="15" t="s">
        <v>78</v>
      </c>
      <c r="I2" s="15" t="s">
        <v>78</v>
      </c>
      <c r="J2" s="15" t="s">
        <v>78</v>
      </c>
      <c r="K2" s="15" t="s">
        <v>78</v>
      </c>
      <c r="L2" s="15" t="s">
        <v>78</v>
      </c>
      <c r="M2" s="15" t="s">
        <v>78</v>
      </c>
      <c r="N2" s="39" t="s">
        <v>141</v>
      </c>
      <c r="O2" s="15" t="s">
        <v>141</v>
      </c>
      <c r="P2" s="15" t="s">
        <v>141</v>
      </c>
      <c r="Q2" s="15" t="s">
        <v>141</v>
      </c>
      <c r="R2" s="15" t="s">
        <v>141</v>
      </c>
      <c r="S2" s="44"/>
      <c r="V2" s="22"/>
    </row>
    <row r="3" spans="1:22" s="14" customFormat="1" x14ac:dyDescent="0.3">
      <c r="A3" s="43" t="s">
        <v>77</v>
      </c>
      <c r="B3" s="15"/>
      <c r="C3" s="16"/>
      <c r="D3" s="15">
        <v>2020</v>
      </c>
      <c r="E3" s="15">
        <v>2048</v>
      </c>
      <c r="F3" s="15">
        <v>2038</v>
      </c>
      <c r="G3" s="15">
        <v>2097</v>
      </c>
      <c r="H3" s="15">
        <v>2059</v>
      </c>
      <c r="I3" s="15">
        <v>2109</v>
      </c>
      <c r="J3" s="15">
        <v>2078</v>
      </c>
      <c r="K3" s="15">
        <v>2078</v>
      </c>
      <c r="L3" s="15">
        <v>2032</v>
      </c>
      <c r="M3" s="15">
        <v>2019</v>
      </c>
      <c r="N3" s="39">
        <v>294</v>
      </c>
      <c r="O3" s="15">
        <v>294</v>
      </c>
      <c r="P3" s="15">
        <v>293</v>
      </c>
      <c r="Q3" s="15">
        <v>294</v>
      </c>
      <c r="R3" s="15">
        <v>292</v>
      </c>
      <c r="S3" s="45"/>
      <c r="V3" s="22"/>
    </row>
    <row r="4" spans="1:22" s="5" customFormat="1" x14ac:dyDescent="0.3">
      <c r="A4" s="46" t="s">
        <v>149</v>
      </c>
      <c r="B4" s="9"/>
      <c r="C4" s="10"/>
      <c r="D4" s="9" t="s">
        <v>150</v>
      </c>
      <c r="E4" s="9" t="s">
        <v>150</v>
      </c>
      <c r="F4" s="9" t="s">
        <v>150</v>
      </c>
      <c r="G4" s="9" t="s">
        <v>151</v>
      </c>
      <c r="H4" s="9" t="s">
        <v>152</v>
      </c>
      <c r="I4" s="9" t="s">
        <v>150</v>
      </c>
      <c r="J4" s="9" t="s">
        <v>150</v>
      </c>
      <c r="K4" s="9" t="s">
        <v>150</v>
      </c>
      <c r="L4" s="9" t="s">
        <v>150</v>
      </c>
      <c r="M4" s="9" t="s">
        <v>150</v>
      </c>
      <c r="N4" s="38" t="s">
        <v>159</v>
      </c>
      <c r="O4" s="9" t="s">
        <v>159</v>
      </c>
      <c r="P4" s="9" t="s">
        <v>159</v>
      </c>
      <c r="Q4" s="9" t="s">
        <v>159</v>
      </c>
      <c r="R4" s="9" t="s">
        <v>159</v>
      </c>
      <c r="S4" s="45"/>
      <c r="V4" s="22"/>
    </row>
    <row r="5" spans="1:22" s="5" customFormat="1" x14ac:dyDescent="0.3">
      <c r="A5" s="46" t="s">
        <v>163</v>
      </c>
      <c r="B5" s="9"/>
      <c r="C5" s="10"/>
      <c r="D5" s="9" t="s">
        <v>165</v>
      </c>
      <c r="E5" s="9" t="s">
        <v>165</v>
      </c>
      <c r="F5" s="9" t="s">
        <v>165</v>
      </c>
      <c r="G5" s="9" t="s">
        <v>165</v>
      </c>
      <c r="H5" s="9" t="s">
        <v>165</v>
      </c>
      <c r="I5" s="9" t="s">
        <v>165</v>
      </c>
      <c r="J5" s="9" t="s">
        <v>165</v>
      </c>
      <c r="K5" s="9" t="s">
        <v>165</v>
      </c>
      <c r="L5" s="9" t="s">
        <v>164</v>
      </c>
      <c r="M5" s="9" t="s">
        <v>165</v>
      </c>
      <c r="N5" s="38" t="s">
        <v>166</v>
      </c>
      <c r="O5" s="38" t="s">
        <v>166</v>
      </c>
      <c r="P5" s="38" t="s">
        <v>166</v>
      </c>
      <c r="Q5" s="38" t="s">
        <v>166</v>
      </c>
      <c r="R5" s="9" t="s">
        <v>167</v>
      </c>
      <c r="S5" s="45"/>
      <c r="V5" s="22"/>
    </row>
    <row r="6" spans="1:22" s="14" customFormat="1" x14ac:dyDescent="0.3">
      <c r="A6" s="43" t="s">
        <v>0</v>
      </c>
      <c r="B6" s="15"/>
      <c r="C6" s="16"/>
      <c r="D6" s="9">
        <v>1</v>
      </c>
      <c r="E6" s="15">
        <v>1</v>
      </c>
      <c r="F6" s="15">
        <v>1</v>
      </c>
      <c r="G6" s="15">
        <v>1</v>
      </c>
      <c r="H6" s="15">
        <v>0.5</v>
      </c>
      <c r="I6" s="25">
        <v>0.33333333333333331</v>
      </c>
      <c r="J6" s="15">
        <v>1</v>
      </c>
      <c r="K6" s="15">
        <v>1</v>
      </c>
      <c r="L6" s="15">
        <v>1</v>
      </c>
      <c r="M6" s="15">
        <v>1</v>
      </c>
      <c r="N6" s="39">
        <v>1</v>
      </c>
      <c r="O6" s="15">
        <v>1</v>
      </c>
      <c r="P6" s="15">
        <v>1</v>
      </c>
      <c r="Q6" s="15">
        <v>1</v>
      </c>
      <c r="R6" s="15">
        <v>1</v>
      </c>
      <c r="S6" s="45"/>
      <c r="V6" s="22"/>
    </row>
    <row r="7" spans="1:22" s="49" customFormat="1" x14ac:dyDescent="0.3">
      <c r="A7" s="47" t="s">
        <v>1</v>
      </c>
      <c r="B7" s="26"/>
      <c r="C7" s="27"/>
      <c r="D7" s="15">
        <v>5</v>
      </c>
      <c r="E7" s="26">
        <v>1.5</v>
      </c>
      <c r="F7" s="26">
        <v>3.5</v>
      </c>
      <c r="G7" s="15">
        <v>8</v>
      </c>
      <c r="H7" s="15">
        <v>8</v>
      </c>
      <c r="I7" s="15">
        <v>7</v>
      </c>
      <c r="J7" s="15">
        <v>5</v>
      </c>
      <c r="K7" s="26">
        <v>4.5</v>
      </c>
      <c r="L7" s="15">
        <v>7</v>
      </c>
      <c r="M7" s="15">
        <v>7</v>
      </c>
      <c r="N7" s="39">
        <v>2</v>
      </c>
      <c r="O7" s="15">
        <v>3</v>
      </c>
      <c r="P7" s="15">
        <v>3</v>
      </c>
      <c r="Q7" s="15">
        <v>3</v>
      </c>
      <c r="R7" s="15">
        <v>2</v>
      </c>
      <c r="S7" s="48"/>
      <c r="V7" s="22"/>
    </row>
    <row r="8" spans="1:22" s="14" customFormat="1" x14ac:dyDescent="0.3">
      <c r="A8" s="43" t="s">
        <v>2</v>
      </c>
      <c r="B8" s="15"/>
      <c r="C8" s="16"/>
      <c r="D8" s="15">
        <v>150</v>
      </c>
      <c r="E8" s="15">
        <v>25</v>
      </c>
      <c r="F8" s="15">
        <v>100</v>
      </c>
      <c r="G8" s="15">
        <v>175</v>
      </c>
      <c r="H8" s="15">
        <v>100</v>
      </c>
      <c r="I8" s="15">
        <v>100</v>
      </c>
      <c r="J8" s="15">
        <v>150</v>
      </c>
      <c r="K8" s="15">
        <v>200</v>
      </c>
      <c r="L8" s="15">
        <v>100</v>
      </c>
      <c r="M8" s="15">
        <v>175</v>
      </c>
      <c r="N8" s="39">
        <v>150</v>
      </c>
      <c r="O8" s="15">
        <v>50</v>
      </c>
      <c r="P8" s="15">
        <v>100</v>
      </c>
      <c r="Q8" s="15">
        <v>100</v>
      </c>
      <c r="R8" s="15">
        <v>10</v>
      </c>
      <c r="S8" s="48"/>
      <c r="V8" s="22"/>
    </row>
    <row r="9" spans="1:22" s="5" customFormat="1" x14ac:dyDescent="0.3">
      <c r="A9" s="46" t="s">
        <v>3</v>
      </c>
      <c r="B9" s="9"/>
      <c r="C9" s="10"/>
      <c r="D9" s="9">
        <v>45.271999999999998</v>
      </c>
      <c r="E9" s="9">
        <v>12.331</v>
      </c>
      <c r="F9" s="9">
        <v>36.036000000000001</v>
      </c>
      <c r="G9" s="9">
        <v>61.246000000000002</v>
      </c>
      <c r="H9" s="9">
        <v>26.942</v>
      </c>
      <c r="I9" s="9">
        <v>109.893</v>
      </c>
      <c r="J9" s="9">
        <v>135.88999999999999</v>
      </c>
      <c r="K9" s="15">
        <v>140</v>
      </c>
      <c r="L9" s="9">
        <v>25.661000000000001</v>
      </c>
      <c r="M9" s="9">
        <v>60.402000000000001</v>
      </c>
      <c r="N9" s="38">
        <v>185.36500000000001</v>
      </c>
      <c r="O9" s="9">
        <v>70.486999999999995</v>
      </c>
      <c r="P9" s="9">
        <v>68.468000000000004</v>
      </c>
      <c r="Q9" s="9">
        <v>49.151000000000003</v>
      </c>
      <c r="R9" s="9">
        <v>4.9560000000000004</v>
      </c>
      <c r="S9" s="48"/>
      <c r="V9" s="22"/>
    </row>
    <row r="10" spans="1:22" s="5" customFormat="1" x14ac:dyDescent="0.3">
      <c r="A10" s="46" t="s">
        <v>4</v>
      </c>
      <c r="B10" s="9"/>
      <c r="C10" s="10"/>
      <c r="D10" s="9">
        <v>4.6120000000000001</v>
      </c>
      <c r="E10" s="9">
        <v>0.20899999999999999</v>
      </c>
      <c r="F10" s="9">
        <v>6.7910000000000004</v>
      </c>
      <c r="G10" s="9">
        <v>1.2929999999999999</v>
      </c>
      <c r="H10" s="25">
        <v>6.64</v>
      </c>
      <c r="I10" s="9">
        <v>0.96799999999999997</v>
      </c>
      <c r="J10" s="9">
        <v>0.65700000000000003</v>
      </c>
      <c r="K10" s="9">
        <v>0.65400000000000003</v>
      </c>
      <c r="L10" s="9">
        <v>0.152</v>
      </c>
      <c r="M10" s="9">
        <v>6.9610000000000003</v>
      </c>
      <c r="N10" s="38">
        <v>1.4079999999999999</v>
      </c>
      <c r="O10" s="9"/>
      <c r="P10" s="9">
        <v>17.704999999999998</v>
      </c>
      <c r="Q10" s="9">
        <v>12.605</v>
      </c>
      <c r="R10" s="9">
        <v>0.44900000000000001</v>
      </c>
      <c r="S10" s="45"/>
      <c r="V10" s="42"/>
    </row>
    <row r="11" spans="1:22" s="5" customFormat="1" x14ac:dyDescent="0.3">
      <c r="A11" s="50" t="s">
        <v>5</v>
      </c>
      <c r="B11" s="9"/>
      <c r="C11" s="10"/>
      <c r="D11" s="9">
        <v>1.7999999999999999E-2</v>
      </c>
      <c r="E11" s="9">
        <v>4.0000000000000001E-3</v>
      </c>
      <c r="F11" s="9">
        <v>0.26800000000000002</v>
      </c>
      <c r="G11" s="25">
        <v>0.05</v>
      </c>
      <c r="H11" s="9">
        <v>9.7000000000000003E-2</v>
      </c>
      <c r="I11" s="25">
        <v>0.01</v>
      </c>
      <c r="J11" s="9">
        <v>0.159</v>
      </c>
      <c r="K11" s="9"/>
      <c r="L11" s="9">
        <v>2E-3</v>
      </c>
      <c r="M11" s="9">
        <v>0.75800000000000001</v>
      </c>
      <c r="N11" s="38">
        <v>9.4E-2</v>
      </c>
      <c r="O11" s="9"/>
      <c r="P11" s="9">
        <v>0.92700000000000005</v>
      </c>
      <c r="Q11" s="9">
        <v>4.9000000000000002E-2</v>
      </c>
      <c r="R11" s="9">
        <v>2.9000000000000001E-2</v>
      </c>
      <c r="S11" s="45"/>
      <c r="V11" s="22"/>
    </row>
    <row r="12" spans="1:22" s="5" customFormat="1" x14ac:dyDescent="0.3">
      <c r="A12" s="50" t="s">
        <v>6</v>
      </c>
      <c r="B12" s="9"/>
      <c r="C12" s="10"/>
      <c r="D12" s="9">
        <f t="shared" ref="D12:R12" si="0">((D10+D65)/D7)</f>
        <v>0.9224</v>
      </c>
      <c r="E12" s="9">
        <f t="shared" si="0"/>
        <v>0.18733333333333335</v>
      </c>
      <c r="F12" s="9">
        <f t="shared" si="0"/>
        <v>1.9805714285714286</v>
      </c>
      <c r="G12" s="25">
        <f t="shared" si="0"/>
        <v>0.21012500000000001</v>
      </c>
      <c r="H12" s="9">
        <f t="shared" si="0"/>
        <v>0.84587499999999993</v>
      </c>
      <c r="I12" s="9">
        <f t="shared" si="0"/>
        <v>0.14457142857142857</v>
      </c>
      <c r="J12" s="25">
        <f t="shared" si="0"/>
        <v>0.18960000000000002</v>
      </c>
      <c r="K12" s="9">
        <f t="shared" si="0"/>
        <v>0.24133333333333329</v>
      </c>
      <c r="L12" s="9">
        <f t="shared" si="0"/>
        <v>4.4428571428571428E-2</v>
      </c>
      <c r="M12" s="9">
        <f t="shared" si="0"/>
        <v>1.0572857142857142</v>
      </c>
      <c r="N12" s="9">
        <f t="shared" si="0"/>
        <v>0.75249999999999995</v>
      </c>
      <c r="O12" s="15">
        <f t="shared" si="0"/>
        <v>3.3333333333333332E-4</v>
      </c>
      <c r="P12" s="9">
        <f t="shared" si="0"/>
        <v>5.9146666666666663</v>
      </c>
      <c r="Q12" s="9">
        <f t="shared" si="0"/>
        <v>4.2166666666666668</v>
      </c>
      <c r="R12" s="9">
        <f t="shared" si="0"/>
        <v>0.249</v>
      </c>
      <c r="S12" s="45"/>
      <c r="V12" s="22"/>
    </row>
    <row r="13" spans="1:22" s="5" customFormat="1" x14ac:dyDescent="0.3">
      <c r="A13" s="50" t="s">
        <v>7</v>
      </c>
      <c r="B13" s="9"/>
      <c r="C13" s="10"/>
      <c r="D13" s="15">
        <f t="shared" ref="D13:R13" si="1">D65/D10</f>
        <v>0</v>
      </c>
      <c r="E13" s="9">
        <f t="shared" si="1"/>
        <v>0.34449760765550247</v>
      </c>
      <c r="F13" s="9">
        <f t="shared" si="1"/>
        <v>2.0762774260050066E-2</v>
      </c>
      <c r="G13" s="26">
        <f t="shared" si="1"/>
        <v>0.30007733952049498</v>
      </c>
      <c r="H13" s="9">
        <f t="shared" si="1"/>
        <v>1.9126506024096386E-2</v>
      </c>
      <c r="I13" s="9">
        <f t="shared" si="1"/>
        <v>4.5454545454545456E-2</v>
      </c>
      <c r="J13" s="9">
        <f t="shared" si="1"/>
        <v>0.44292237442922378</v>
      </c>
      <c r="K13" s="9">
        <f t="shared" si="1"/>
        <v>0.66055045871559626</v>
      </c>
      <c r="L13" s="9">
        <f t="shared" si="1"/>
        <v>1.0460526315789473</v>
      </c>
      <c r="M13" s="9">
        <f t="shared" si="1"/>
        <v>6.320930900732652E-2</v>
      </c>
      <c r="N13" s="9">
        <f t="shared" si="1"/>
        <v>6.8892045454545456E-2</v>
      </c>
      <c r="O13" s="9" t="e">
        <f t="shared" si="1"/>
        <v>#DIV/0!</v>
      </c>
      <c r="P13" s="9">
        <f t="shared" si="1"/>
        <v>2.2027675797797234E-3</v>
      </c>
      <c r="Q13" s="9">
        <f t="shared" si="1"/>
        <v>3.5700119000396666E-3</v>
      </c>
      <c r="R13" s="9">
        <f t="shared" si="1"/>
        <v>0.10913140311804009</v>
      </c>
      <c r="S13" s="45"/>
      <c r="V13" s="22"/>
    </row>
    <row r="14" spans="1:22" s="14" customFormat="1" x14ac:dyDescent="0.3">
      <c r="A14" s="68" t="s">
        <v>8</v>
      </c>
      <c r="B14" s="15"/>
      <c r="C14" s="16"/>
      <c r="D14" s="15">
        <v>0</v>
      </c>
      <c r="E14" s="15">
        <v>5</v>
      </c>
      <c r="F14" s="15">
        <v>29</v>
      </c>
      <c r="G14" s="15">
        <v>1</v>
      </c>
      <c r="H14" s="15">
        <v>3</v>
      </c>
      <c r="I14" s="15">
        <v>0</v>
      </c>
      <c r="J14" s="15">
        <v>4</v>
      </c>
      <c r="K14" s="15">
        <v>2</v>
      </c>
      <c r="L14" s="15">
        <v>0</v>
      </c>
      <c r="M14" s="15">
        <v>34</v>
      </c>
      <c r="N14" s="15">
        <v>0</v>
      </c>
      <c r="O14" s="15">
        <v>0</v>
      </c>
      <c r="P14" s="15">
        <v>0</v>
      </c>
      <c r="Q14" s="15">
        <v>3</v>
      </c>
      <c r="R14" s="15">
        <v>2</v>
      </c>
      <c r="S14" s="44"/>
      <c r="V14" s="75"/>
    </row>
    <row r="15" spans="1:22" s="5" customFormat="1" x14ac:dyDescent="0.3">
      <c r="A15" s="50" t="s">
        <v>9</v>
      </c>
      <c r="B15" s="9"/>
      <c r="C15" s="10"/>
      <c r="D15" s="15">
        <f t="shared" ref="D15:R15" si="2">D14/D10</f>
        <v>0</v>
      </c>
      <c r="E15" s="9">
        <f t="shared" si="2"/>
        <v>23.923444976076556</v>
      </c>
      <c r="F15" s="9">
        <f t="shared" si="2"/>
        <v>4.2703578265351201</v>
      </c>
      <c r="G15" s="9">
        <f t="shared" si="2"/>
        <v>0.77339520494972935</v>
      </c>
      <c r="H15" s="9">
        <f t="shared" si="2"/>
        <v>0.45180722891566266</v>
      </c>
      <c r="I15" s="15">
        <f t="shared" si="2"/>
        <v>0</v>
      </c>
      <c r="J15" s="9">
        <f t="shared" si="2"/>
        <v>6.0882800608828003</v>
      </c>
      <c r="K15" s="9">
        <f t="shared" si="2"/>
        <v>3.0581039755351682</v>
      </c>
      <c r="L15" s="15">
        <f t="shared" si="2"/>
        <v>0</v>
      </c>
      <c r="M15" s="9">
        <f t="shared" si="2"/>
        <v>4.8843556960206866</v>
      </c>
      <c r="N15" s="15">
        <f t="shared" si="2"/>
        <v>0</v>
      </c>
      <c r="O15" s="9" t="e">
        <f t="shared" si="2"/>
        <v>#DIV/0!</v>
      </c>
      <c r="P15" s="15">
        <f t="shared" si="2"/>
        <v>0</v>
      </c>
      <c r="Q15" s="9">
        <f t="shared" si="2"/>
        <v>0.23800079333597779</v>
      </c>
      <c r="R15" s="9">
        <f t="shared" si="2"/>
        <v>4.4543429844097995</v>
      </c>
      <c r="S15" s="45"/>
      <c r="V15" s="22"/>
    </row>
    <row r="16" spans="1:22" s="5" customFormat="1" x14ac:dyDescent="0.3">
      <c r="A16" s="50" t="s">
        <v>155</v>
      </c>
      <c r="B16" s="9"/>
      <c r="C16" s="10"/>
      <c r="D16" s="9" t="e">
        <f t="shared" ref="D16:M16" si="3">D110/D35</f>
        <v>#DIV/0!</v>
      </c>
      <c r="E16" s="15">
        <f t="shared" si="3"/>
        <v>0</v>
      </c>
      <c r="F16" s="9">
        <f t="shared" si="3"/>
        <v>138.88888888888889</v>
      </c>
      <c r="G16" s="15">
        <f t="shared" si="3"/>
        <v>0</v>
      </c>
      <c r="H16" s="9" t="e">
        <f t="shared" si="3"/>
        <v>#DIV/0!</v>
      </c>
      <c r="I16" s="9" t="e">
        <f t="shared" si="3"/>
        <v>#DIV/0!</v>
      </c>
      <c r="J16" s="15">
        <f t="shared" si="3"/>
        <v>0</v>
      </c>
      <c r="K16" s="15">
        <f>K110/K35</f>
        <v>40</v>
      </c>
      <c r="L16" s="9" t="e">
        <f t="shared" si="3"/>
        <v>#DIV/0!</v>
      </c>
      <c r="M16" s="9">
        <f t="shared" si="3"/>
        <v>46.979865771812079</v>
      </c>
      <c r="N16" s="9"/>
      <c r="O16" s="9"/>
      <c r="P16" s="9"/>
      <c r="Q16" s="9"/>
      <c r="R16" s="9"/>
      <c r="S16" s="45"/>
      <c r="V16" s="22"/>
    </row>
    <row r="17" spans="1:154" s="5" customFormat="1" x14ac:dyDescent="0.3">
      <c r="A17" s="50" t="s">
        <v>156</v>
      </c>
      <c r="B17" s="9"/>
      <c r="C17" s="10"/>
      <c r="D17" s="9" t="e">
        <f t="shared" ref="D17:M17" si="4">D110/D34</f>
        <v>#DIV/0!</v>
      </c>
      <c r="E17" s="15">
        <f t="shared" si="4"/>
        <v>0</v>
      </c>
      <c r="F17" s="9">
        <f t="shared" si="4"/>
        <v>1.1111111111111112</v>
      </c>
      <c r="G17" s="9" t="e">
        <f t="shared" si="4"/>
        <v>#DIV/0!</v>
      </c>
      <c r="H17" s="9" t="e">
        <f t="shared" si="4"/>
        <v>#DIV/0!</v>
      </c>
      <c r="I17" s="9" t="e">
        <f t="shared" si="4"/>
        <v>#DIV/0!</v>
      </c>
      <c r="J17" s="15">
        <f t="shared" si="4"/>
        <v>0</v>
      </c>
      <c r="K17" s="9">
        <f t="shared" si="4"/>
        <v>0.8571428571428571</v>
      </c>
      <c r="L17" s="9" t="e">
        <f t="shared" si="4"/>
        <v>#DIV/0!</v>
      </c>
      <c r="M17" s="9">
        <f t="shared" si="4"/>
        <v>0.53846153846153844</v>
      </c>
      <c r="N17" s="9"/>
      <c r="O17" s="9"/>
      <c r="P17" s="9"/>
      <c r="Q17" s="9"/>
      <c r="R17" s="9"/>
      <c r="S17" s="45"/>
      <c r="V17" s="22"/>
    </row>
    <row r="18" spans="1:154" s="5" customFormat="1" x14ac:dyDescent="0.3">
      <c r="A18" s="50" t="s">
        <v>157</v>
      </c>
      <c r="B18" s="9"/>
      <c r="C18" s="10"/>
      <c r="D18" s="9">
        <f>D65/D10</f>
        <v>0</v>
      </c>
      <c r="E18" s="9">
        <f t="shared" ref="E18:M18" si="5">E65/E10</f>
        <v>0.34449760765550247</v>
      </c>
      <c r="F18" s="9">
        <f t="shared" si="5"/>
        <v>2.0762774260050066E-2</v>
      </c>
      <c r="G18" s="9">
        <f t="shared" si="5"/>
        <v>0.30007733952049498</v>
      </c>
      <c r="H18" s="9">
        <f t="shared" si="5"/>
        <v>1.9126506024096386E-2</v>
      </c>
      <c r="I18" s="9">
        <f t="shared" si="5"/>
        <v>4.5454545454545456E-2</v>
      </c>
      <c r="J18" s="9">
        <f t="shared" si="5"/>
        <v>0.44292237442922378</v>
      </c>
      <c r="K18" s="9">
        <f t="shared" si="5"/>
        <v>0.66055045871559626</v>
      </c>
      <c r="L18" s="9">
        <f t="shared" si="5"/>
        <v>1.0460526315789473</v>
      </c>
      <c r="M18" s="9">
        <f t="shared" si="5"/>
        <v>6.320930900732652E-2</v>
      </c>
      <c r="N18" s="9"/>
      <c r="O18" s="9"/>
      <c r="P18" s="9"/>
      <c r="Q18" s="9"/>
      <c r="R18" s="9"/>
      <c r="S18" s="45"/>
      <c r="V18" s="22"/>
    </row>
    <row r="19" spans="1:154" s="5" customFormat="1" x14ac:dyDescent="0.3">
      <c r="A19" s="50" t="s">
        <v>10</v>
      </c>
      <c r="B19" s="9"/>
      <c r="C19" s="10"/>
      <c r="D19" s="9" t="e">
        <f t="shared" ref="D19:R19" si="6">D14/D35</f>
        <v>#DIV/0!</v>
      </c>
      <c r="E19" s="15">
        <f>E14/E35</f>
        <v>1250</v>
      </c>
      <c r="F19" s="9">
        <f t="shared" si="6"/>
        <v>402.77777777777771</v>
      </c>
      <c r="G19" s="9">
        <f t="shared" si="6"/>
        <v>28.571428571428569</v>
      </c>
      <c r="H19" s="9" t="e">
        <f t="shared" si="6"/>
        <v>#DIV/0!</v>
      </c>
      <c r="I19" s="9" t="e">
        <f t="shared" si="6"/>
        <v>#DIV/0!</v>
      </c>
      <c r="J19" s="15">
        <f t="shared" si="6"/>
        <v>250</v>
      </c>
      <c r="K19" s="9">
        <f t="shared" si="6"/>
        <v>13.333333333333334</v>
      </c>
      <c r="L19" s="9" t="e">
        <f t="shared" si="6"/>
        <v>#DIV/0!</v>
      </c>
      <c r="M19" s="9">
        <f t="shared" si="6"/>
        <v>228.18791946308727</v>
      </c>
      <c r="N19" s="9" t="e">
        <f t="shared" si="6"/>
        <v>#DIV/0!</v>
      </c>
      <c r="O19" s="9" t="e">
        <f t="shared" si="6"/>
        <v>#DIV/0!</v>
      </c>
      <c r="P19" s="9" t="e">
        <f t="shared" si="6"/>
        <v>#DIV/0!</v>
      </c>
      <c r="Q19" s="9" t="e">
        <f t="shared" si="6"/>
        <v>#DIV/0!</v>
      </c>
      <c r="R19" s="9" t="e">
        <f t="shared" si="6"/>
        <v>#DIV/0!</v>
      </c>
      <c r="S19" s="45"/>
      <c r="V19" s="22"/>
    </row>
    <row r="20" spans="1:154" s="28" customFormat="1" x14ac:dyDescent="0.3">
      <c r="A20" s="53" t="s">
        <v>11</v>
      </c>
      <c r="B20" s="52" t="s">
        <v>12</v>
      </c>
      <c r="C20" s="54" t="s">
        <v>32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1"/>
      <c r="O20" s="52"/>
      <c r="P20" s="52"/>
      <c r="Q20" s="52"/>
      <c r="R20" s="52"/>
      <c r="S20" s="55"/>
      <c r="V20" s="20"/>
    </row>
    <row r="21" spans="1:154" s="28" customFormat="1" x14ac:dyDescent="0.3">
      <c r="A21" s="53" t="s">
        <v>13</v>
      </c>
      <c r="C21" s="29"/>
      <c r="N21" s="56"/>
      <c r="S21" s="55"/>
      <c r="V21" s="20"/>
    </row>
    <row r="22" spans="1:154" s="59" customFormat="1" x14ac:dyDescent="0.3">
      <c r="A22" s="58" t="s">
        <v>14</v>
      </c>
      <c r="B22" s="30"/>
      <c r="C22" s="31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57"/>
      <c r="O22" s="30"/>
      <c r="P22" s="30"/>
      <c r="Q22" s="30"/>
      <c r="R22" s="30"/>
      <c r="S22" s="8" t="s">
        <v>154</v>
      </c>
      <c r="U22" s="59" t="s">
        <v>146</v>
      </c>
      <c r="V22" s="21" t="s">
        <v>147</v>
      </c>
      <c r="W22" s="59" t="s">
        <v>148</v>
      </c>
    </row>
    <row r="23" spans="1:154" s="78" customFormat="1" x14ac:dyDescent="0.3">
      <c r="A23" s="76" t="s">
        <v>41</v>
      </c>
      <c r="B23" s="25" t="s">
        <v>34</v>
      </c>
      <c r="C23" s="73" t="s">
        <v>46</v>
      </c>
      <c r="D23" s="25"/>
      <c r="E23" s="25"/>
      <c r="F23" s="15">
        <v>1</v>
      </c>
      <c r="G23" s="25"/>
      <c r="H23" s="25"/>
      <c r="I23" s="25"/>
      <c r="J23" s="25"/>
      <c r="K23" s="25"/>
      <c r="L23" s="25"/>
      <c r="M23" s="25"/>
      <c r="N23" s="77"/>
      <c r="O23" s="25"/>
      <c r="P23" s="25"/>
      <c r="Q23" s="25"/>
      <c r="R23" s="25"/>
      <c r="S23" s="11">
        <f>COUNT(D23:R23)/15</f>
        <v>6.6666666666666666E-2</v>
      </c>
      <c r="T23" s="13"/>
      <c r="U23" s="13">
        <f>SUM(D23:R23)</f>
        <v>1</v>
      </c>
      <c r="V23" s="81">
        <f>(U23)/96</f>
        <v>1.0416666666666666E-2</v>
      </c>
      <c r="W23" s="81"/>
    </row>
    <row r="24" spans="1:154" x14ac:dyDescent="0.3">
      <c r="A24" s="32" t="s">
        <v>71</v>
      </c>
      <c r="B24" s="9" t="s">
        <v>34</v>
      </c>
      <c r="C24" s="10" t="s">
        <v>46</v>
      </c>
      <c r="F24" s="9">
        <f>0.017+0.002+0</f>
        <v>1.9000000000000003E-2</v>
      </c>
      <c r="G24" s="9">
        <v>3.5000000000000003E-2</v>
      </c>
      <c r="J24" s="9">
        <v>8.9999999999999993E-3</v>
      </c>
      <c r="K24" s="9">
        <f>0.017+0.006</f>
        <v>2.3E-2</v>
      </c>
      <c r="M24" s="9">
        <f>0.026+0.007</f>
        <v>3.3000000000000002E-2</v>
      </c>
      <c r="R24" s="15">
        <v>0</v>
      </c>
      <c r="S24" s="11">
        <f t="shared" ref="S24:S65" si="7">COUNT(D24:R24)/15</f>
        <v>0.4</v>
      </c>
      <c r="T24" s="13"/>
      <c r="U24" s="13">
        <f t="shared" ref="U24:U65" si="8">SUM(D24:R24)</f>
        <v>0.11899999999999999</v>
      </c>
      <c r="V24" s="81"/>
      <c r="W24" s="81">
        <f t="shared" ref="W24:W30" si="9">(U24)/6.238</f>
        <v>1.9076627124078229E-2</v>
      </c>
      <c r="X24" s="13"/>
      <c r="Y24" s="13"/>
      <c r="Z24" s="13"/>
      <c r="AA24" s="13"/>
      <c r="AB24" s="17"/>
      <c r="AC24" s="17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EX24" s="13"/>
    </row>
    <row r="25" spans="1:154" s="78" customFormat="1" x14ac:dyDescent="0.3">
      <c r="A25" s="76" t="s">
        <v>84</v>
      </c>
      <c r="B25" s="25" t="s">
        <v>34</v>
      </c>
      <c r="C25" s="73" t="s">
        <v>46</v>
      </c>
      <c r="D25" s="25"/>
      <c r="E25" s="15">
        <v>1</v>
      </c>
      <c r="F25" s="15">
        <v>4</v>
      </c>
      <c r="G25" s="15"/>
      <c r="H25" s="15"/>
      <c r="I25" s="15"/>
      <c r="J25" s="15"/>
      <c r="K25" s="15">
        <v>5</v>
      </c>
      <c r="L25" s="15"/>
      <c r="M25" s="15">
        <f>3+7</f>
        <v>10</v>
      </c>
      <c r="N25" s="77"/>
      <c r="O25" s="25"/>
      <c r="P25" s="25"/>
      <c r="Q25" s="25"/>
      <c r="R25" s="25"/>
      <c r="S25" s="11">
        <f t="shared" si="7"/>
        <v>0.26666666666666666</v>
      </c>
      <c r="T25" s="13"/>
      <c r="U25" s="13">
        <f t="shared" si="8"/>
        <v>20</v>
      </c>
      <c r="V25" s="81">
        <f t="shared" ref="V25:V64" si="10">(U25)/96</f>
        <v>0.20833333333333334</v>
      </c>
      <c r="W25" s="81"/>
      <c r="AA25" s="74"/>
      <c r="AB25" s="74"/>
      <c r="AC25" s="74"/>
      <c r="AD25" s="74"/>
    </row>
    <row r="26" spans="1:154" x14ac:dyDescent="0.3">
      <c r="A26" s="32" t="s">
        <v>85</v>
      </c>
      <c r="B26" s="9" t="s">
        <v>34</v>
      </c>
      <c r="C26" s="10" t="s">
        <v>46</v>
      </c>
      <c r="E26" s="9">
        <v>4.0000000000000001E-3</v>
      </c>
      <c r="F26" s="25">
        <f>0.014+0.005+0.001</f>
        <v>0.02</v>
      </c>
      <c r="K26" s="9">
        <f>0.047+0.006</f>
        <v>5.2999999999999999E-2</v>
      </c>
      <c r="M26" s="9">
        <f>0.02+0.018+0.016+0.003</f>
        <v>5.7000000000000002E-2</v>
      </c>
      <c r="S26" s="11">
        <f t="shared" si="7"/>
        <v>0.26666666666666666</v>
      </c>
      <c r="T26" s="13"/>
      <c r="U26" s="13">
        <f t="shared" si="8"/>
        <v>0.13400000000000001</v>
      </c>
      <c r="V26" s="81"/>
      <c r="W26" s="81">
        <f t="shared" si="9"/>
        <v>2.148124398845784E-2</v>
      </c>
      <c r="X26" s="13"/>
      <c r="Y26" s="13"/>
      <c r="Z26" s="13"/>
      <c r="AA26" s="13"/>
      <c r="AB26" s="17"/>
      <c r="AC26" s="17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EX26" s="13"/>
    </row>
    <row r="27" spans="1:154" s="78" customFormat="1" x14ac:dyDescent="0.3">
      <c r="A27" s="76" t="s">
        <v>90</v>
      </c>
      <c r="B27" s="25" t="s">
        <v>34</v>
      </c>
      <c r="C27" s="73" t="s">
        <v>46</v>
      </c>
      <c r="D27" s="25"/>
      <c r="E27" s="25"/>
      <c r="F27" s="15">
        <v>1</v>
      </c>
      <c r="G27" s="25"/>
      <c r="H27" s="25"/>
      <c r="I27" s="25"/>
      <c r="J27" s="25"/>
      <c r="K27" s="25"/>
      <c r="L27" s="25"/>
      <c r="M27" s="25"/>
      <c r="N27" s="77"/>
      <c r="O27" s="25"/>
      <c r="P27" s="25"/>
      <c r="Q27" s="25"/>
      <c r="R27" s="25"/>
      <c r="S27" s="11">
        <f t="shared" si="7"/>
        <v>6.6666666666666666E-2</v>
      </c>
      <c r="T27" s="13"/>
      <c r="U27" s="13">
        <f t="shared" si="8"/>
        <v>1</v>
      </c>
      <c r="V27" s="81">
        <f t="shared" si="10"/>
        <v>1.0416666666666666E-2</v>
      </c>
      <c r="W27" s="81"/>
    </row>
    <row r="28" spans="1:154" x14ac:dyDescent="0.3">
      <c r="A28" s="32" t="s">
        <v>91</v>
      </c>
      <c r="B28" s="9" t="s">
        <v>34</v>
      </c>
      <c r="C28" s="10" t="s">
        <v>46</v>
      </c>
      <c r="F28" s="9">
        <f>0.005+0.001+0.001</f>
        <v>7.0000000000000001E-3</v>
      </c>
      <c r="K28" s="9">
        <v>4.7E-2</v>
      </c>
      <c r="S28" s="11">
        <f t="shared" si="7"/>
        <v>0.13333333333333333</v>
      </c>
      <c r="T28" s="13"/>
      <c r="U28" s="13">
        <f t="shared" si="8"/>
        <v>5.3999999999999999E-2</v>
      </c>
      <c r="V28" s="81"/>
      <c r="W28" s="81">
        <f t="shared" si="9"/>
        <v>8.6566207117665904E-3</v>
      </c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EX28" s="13"/>
    </row>
    <row r="29" spans="1:154" s="78" customFormat="1" x14ac:dyDescent="0.3">
      <c r="A29" s="76" t="s">
        <v>92</v>
      </c>
      <c r="B29" s="25" t="s">
        <v>34</v>
      </c>
      <c r="C29" s="73" t="s">
        <v>46</v>
      </c>
      <c r="D29" s="25"/>
      <c r="E29" s="25"/>
      <c r="F29" s="15">
        <v>3</v>
      </c>
      <c r="G29" s="15"/>
      <c r="H29" s="15"/>
      <c r="I29" s="15"/>
      <c r="J29" s="15">
        <v>1</v>
      </c>
      <c r="K29" s="15">
        <v>2</v>
      </c>
      <c r="L29" s="15"/>
      <c r="M29" s="15">
        <v>3</v>
      </c>
      <c r="N29" s="77"/>
      <c r="O29" s="25"/>
      <c r="P29" s="25"/>
      <c r="Q29" s="25"/>
      <c r="R29" s="25"/>
      <c r="S29" s="11">
        <f t="shared" si="7"/>
        <v>0.26666666666666666</v>
      </c>
      <c r="T29" s="13"/>
      <c r="U29" s="13">
        <f t="shared" si="8"/>
        <v>9</v>
      </c>
      <c r="V29" s="81">
        <f t="shared" si="10"/>
        <v>9.375E-2</v>
      </c>
      <c r="W29" s="81"/>
    </row>
    <row r="30" spans="1:154" x14ac:dyDescent="0.3">
      <c r="A30" s="32" t="s">
        <v>93</v>
      </c>
      <c r="B30" s="9" t="s">
        <v>34</v>
      </c>
      <c r="C30" s="10" t="s">
        <v>46</v>
      </c>
      <c r="F30" s="9">
        <f>0.021+0.005</f>
        <v>2.6000000000000002E-2</v>
      </c>
      <c r="J30" s="9">
        <v>7.0000000000000001E-3</v>
      </c>
      <c r="K30" s="9">
        <f>0.021+0.006</f>
        <v>2.7000000000000003E-2</v>
      </c>
      <c r="M30" s="9">
        <v>5.8999999999999997E-2</v>
      </c>
      <c r="S30" s="11">
        <f t="shared" si="7"/>
        <v>0.26666666666666666</v>
      </c>
      <c r="T30" s="13"/>
      <c r="U30" s="13">
        <f t="shared" si="8"/>
        <v>0.11899999999999999</v>
      </c>
      <c r="V30" s="81"/>
      <c r="W30" s="81">
        <f t="shared" si="9"/>
        <v>1.9076627124078229E-2</v>
      </c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EX30" s="13"/>
    </row>
    <row r="31" spans="1:154" x14ac:dyDescent="0.3">
      <c r="S31" s="11"/>
      <c r="T31" s="13"/>
      <c r="U31" s="13"/>
      <c r="V31" s="81"/>
      <c r="W31" s="81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EX31" s="13"/>
    </row>
    <row r="32" spans="1:154" x14ac:dyDescent="0.3">
      <c r="S32" s="11"/>
      <c r="T32" s="13"/>
      <c r="U32" s="13"/>
      <c r="V32" s="19"/>
      <c r="W32" s="19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EX32" s="13"/>
    </row>
    <row r="33" spans="1:154" x14ac:dyDescent="0.3">
      <c r="S33" s="11"/>
      <c r="T33" s="13"/>
      <c r="U33" s="13"/>
      <c r="V33" s="19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EX33" s="13"/>
    </row>
    <row r="34" spans="1:154" s="17" customFormat="1" x14ac:dyDescent="0.3">
      <c r="A34" s="82" t="s">
        <v>63</v>
      </c>
      <c r="B34" s="15"/>
      <c r="C34" s="16"/>
      <c r="D34" s="15"/>
      <c r="E34" s="15">
        <f>SUM(E23+E25+E27+E29+E31)</f>
        <v>1</v>
      </c>
      <c r="F34" s="15">
        <f t="shared" ref="F34:R34" si="11">SUM(F23+F25+F27+F29+F31)</f>
        <v>9</v>
      </c>
      <c r="G34" s="15"/>
      <c r="H34" s="15"/>
      <c r="I34" s="15"/>
      <c r="J34" s="15">
        <f t="shared" si="11"/>
        <v>1</v>
      </c>
      <c r="K34" s="15">
        <f t="shared" si="11"/>
        <v>7</v>
      </c>
      <c r="L34" s="15"/>
      <c r="M34" s="15">
        <f t="shared" si="11"/>
        <v>13</v>
      </c>
      <c r="N34" s="15"/>
      <c r="O34" s="15"/>
      <c r="P34" s="15"/>
      <c r="Q34" s="15"/>
      <c r="R34" s="15">
        <f t="shared" si="11"/>
        <v>0</v>
      </c>
      <c r="S34" s="79">
        <f t="shared" si="7"/>
        <v>0.4</v>
      </c>
      <c r="T34" s="14"/>
      <c r="U34" s="17">
        <f>SUM(D34:R34)</f>
        <v>31</v>
      </c>
      <c r="V34" s="80">
        <f t="shared" si="10"/>
        <v>0.32291666666666669</v>
      </c>
      <c r="W34" s="14"/>
      <c r="X34" s="14"/>
      <c r="Y34" s="14"/>
      <c r="Z34" s="14"/>
      <c r="AA34" s="14"/>
      <c r="AB34" s="14"/>
    </row>
    <row r="35" spans="1:154" x14ac:dyDescent="0.3">
      <c r="A35" s="6" t="s">
        <v>64</v>
      </c>
      <c r="E35" s="9">
        <f>SUM(E24+E26+E28+E30+E32)</f>
        <v>4.0000000000000001E-3</v>
      </c>
      <c r="F35" s="9">
        <f t="shared" ref="F35:R35" si="12">SUM(F24+F26+F28+F30+F32)</f>
        <v>7.2000000000000008E-2</v>
      </c>
      <c r="G35" s="9">
        <f t="shared" si="12"/>
        <v>3.5000000000000003E-2</v>
      </c>
      <c r="J35" s="9">
        <f t="shared" si="12"/>
        <v>1.6E-2</v>
      </c>
      <c r="K35" s="9">
        <f t="shared" si="12"/>
        <v>0.15</v>
      </c>
      <c r="M35" s="9">
        <f t="shared" si="12"/>
        <v>0.14899999999999999</v>
      </c>
      <c r="N35" s="9"/>
      <c r="R35" s="15">
        <f t="shared" si="12"/>
        <v>0</v>
      </c>
      <c r="S35" s="11">
        <f t="shared" si="7"/>
        <v>0.46666666666666667</v>
      </c>
      <c r="U35" s="13">
        <f t="shared" si="8"/>
        <v>0.42600000000000005</v>
      </c>
      <c r="V35" s="19"/>
      <c r="W35" s="19">
        <f t="shared" ref="W35:W62" si="13">(U35)/6.238</f>
        <v>6.8291118948380899E-2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EX35" s="13"/>
    </row>
    <row r="36" spans="1:154" s="59" customFormat="1" x14ac:dyDescent="0.3">
      <c r="A36" s="58" t="s">
        <v>15</v>
      </c>
      <c r="B36" s="30"/>
      <c r="C36" s="31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57"/>
      <c r="O36" s="30"/>
      <c r="P36" s="30"/>
      <c r="Q36" s="30"/>
      <c r="R36" s="83"/>
      <c r="S36" s="60"/>
      <c r="V36" s="21"/>
    </row>
    <row r="37" spans="1:154" s="12" customFormat="1" x14ac:dyDescent="0.3">
      <c r="A37" s="61" t="s">
        <v>115</v>
      </c>
      <c r="B37" s="9" t="s">
        <v>37</v>
      </c>
      <c r="C37" s="10" t="s">
        <v>46</v>
      </c>
      <c r="D37" s="9"/>
      <c r="E37" s="9"/>
      <c r="F37" s="9"/>
      <c r="G37" s="9"/>
      <c r="H37" s="9"/>
      <c r="I37" s="9"/>
      <c r="J37" s="9"/>
      <c r="K37" s="15">
        <v>2</v>
      </c>
      <c r="L37" s="9"/>
      <c r="M37" s="26">
        <v>0.5</v>
      </c>
      <c r="N37" s="38"/>
      <c r="O37" s="9"/>
      <c r="P37" s="9"/>
      <c r="Q37" s="9"/>
      <c r="R37" s="9"/>
      <c r="S37" s="11">
        <f t="shared" si="7"/>
        <v>0.13333333333333333</v>
      </c>
      <c r="U37" s="13">
        <f t="shared" si="8"/>
        <v>2.5</v>
      </c>
      <c r="V37" s="19">
        <f t="shared" si="10"/>
        <v>2.6041666666666668E-2</v>
      </c>
      <c r="W37" s="19"/>
    </row>
    <row r="38" spans="1:154" s="12" customFormat="1" x14ac:dyDescent="0.3">
      <c r="A38" s="61" t="s">
        <v>130</v>
      </c>
      <c r="B38" s="9"/>
      <c r="C38" s="10"/>
      <c r="D38" s="9"/>
      <c r="E38" s="9"/>
      <c r="F38" s="9"/>
      <c r="G38" s="9"/>
      <c r="H38" s="9"/>
      <c r="I38" s="9"/>
      <c r="J38" s="9"/>
      <c r="K38" s="9"/>
      <c r="L38" s="9"/>
      <c r="M38" s="15">
        <v>0</v>
      </c>
      <c r="N38" s="38"/>
      <c r="O38" s="9"/>
      <c r="P38" s="9"/>
      <c r="Q38" s="9"/>
      <c r="R38" s="9"/>
      <c r="S38" s="11">
        <f t="shared" si="7"/>
        <v>6.6666666666666666E-2</v>
      </c>
      <c r="U38" s="13">
        <f t="shared" si="8"/>
        <v>0</v>
      </c>
      <c r="V38" s="19">
        <f t="shared" si="10"/>
        <v>0</v>
      </c>
      <c r="W38" s="19"/>
    </row>
    <row r="39" spans="1:154" s="12" customFormat="1" x14ac:dyDescent="0.3">
      <c r="A39" s="61" t="s">
        <v>131</v>
      </c>
      <c r="B39" s="9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38"/>
      <c r="O39" s="9"/>
      <c r="P39" s="9"/>
      <c r="Q39" s="9"/>
      <c r="R39" s="9"/>
      <c r="S39" s="11">
        <f t="shared" si="7"/>
        <v>0</v>
      </c>
      <c r="U39" s="13">
        <f t="shared" si="8"/>
        <v>0</v>
      </c>
      <c r="V39" s="19">
        <f t="shared" si="10"/>
        <v>0</v>
      </c>
      <c r="W39" s="19">
        <f t="shared" si="13"/>
        <v>0</v>
      </c>
    </row>
    <row r="40" spans="1:154" s="12" customFormat="1" x14ac:dyDescent="0.3">
      <c r="A40" s="61" t="s">
        <v>116</v>
      </c>
      <c r="B40" s="9" t="s">
        <v>37</v>
      </c>
      <c r="C40" s="10" t="s">
        <v>46</v>
      </c>
      <c r="D40" s="9"/>
      <c r="E40" s="9"/>
      <c r="F40" s="9"/>
      <c r="G40" s="9"/>
      <c r="H40" s="9"/>
      <c r="I40" s="9"/>
      <c r="J40" s="9"/>
      <c r="K40" s="9">
        <v>2.8000000000000001E-2</v>
      </c>
      <c r="L40" s="9"/>
      <c r="M40" s="9"/>
      <c r="N40" s="38"/>
      <c r="O40" s="9"/>
      <c r="P40" s="9"/>
      <c r="Q40" s="9"/>
      <c r="R40" s="9"/>
      <c r="S40" s="11">
        <f t="shared" si="7"/>
        <v>6.6666666666666666E-2</v>
      </c>
      <c r="U40" s="13">
        <f t="shared" si="8"/>
        <v>2.8000000000000001E-2</v>
      </c>
      <c r="V40" s="19">
        <f t="shared" si="10"/>
        <v>2.9166666666666669E-4</v>
      </c>
      <c r="W40" s="19">
        <f t="shared" si="13"/>
        <v>4.488618146841936E-3</v>
      </c>
    </row>
    <row r="41" spans="1:154" s="12" customFormat="1" x14ac:dyDescent="0.3">
      <c r="A41" s="61" t="s">
        <v>79</v>
      </c>
      <c r="B41" s="9" t="s">
        <v>37</v>
      </c>
      <c r="C41" s="10" t="s">
        <v>46</v>
      </c>
      <c r="D41" s="9"/>
      <c r="E41" s="26">
        <v>0.5</v>
      </c>
      <c r="F41" s="9"/>
      <c r="G41" s="9"/>
      <c r="H41" s="9"/>
      <c r="I41" s="9"/>
      <c r="J41" s="9"/>
      <c r="K41" s="9"/>
      <c r="L41" s="9"/>
      <c r="M41" s="9"/>
      <c r="N41" s="38"/>
      <c r="O41" s="9"/>
      <c r="P41" s="9"/>
      <c r="Q41" s="9"/>
      <c r="R41" s="9"/>
      <c r="S41" s="11">
        <f t="shared" si="7"/>
        <v>6.6666666666666666E-2</v>
      </c>
      <c r="U41" s="13">
        <f t="shared" si="8"/>
        <v>0.5</v>
      </c>
      <c r="V41" s="19">
        <f t="shared" si="10"/>
        <v>5.208333333333333E-3</v>
      </c>
      <c r="W41" s="19"/>
    </row>
    <row r="42" spans="1:154" s="12" customFormat="1" x14ac:dyDescent="0.3">
      <c r="A42" s="61" t="s">
        <v>80</v>
      </c>
      <c r="B42" s="9" t="s">
        <v>37</v>
      </c>
      <c r="C42" s="10" t="s">
        <v>46</v>
      </c>
      <c r="D42" s="9"/>
      <c r="E42" s="9">
        <v>1E-3</v>
      </c>
      <c r="F42" s="9"/>
      <c r="G42" s="9"/>
      <c r="H42" s="9"/>
      <c r="I42" s="9"/>
      <c r="J42" s="9"/>
      <c r="K42" s="9"/>
      <c r="L42" s="9"/>
      <c r="M42" s="9"/>
      <c r="N42" s="38"/>
      <c r="O42" s="9">
        <v>1E-3</v>
      </c>
      <c r="P42" s="9"/>
      <c r="Q42" s="9"/>
      <c r="R42" s="9"/>
      <c r="S42" s="11">
        <f t="shared" si="7"/>
        <v>0.13333333333333333</v>
      </c>
      <c r="U42" s="13">
        <f t="shared" si="8"/>
        <v>2E-3</v>
      </c>
      <c r="V42" s="19">
        <f t="shared" si="10"/>
        <v>2.0833333333333333E-5</v>
      </c>
      <c r="W42" s="19">
        <f t="shared" si="13"/>
        <v>3.2061558191728119E-4</v>
      </c>
    </row>
    <row r="43" spans="1:154" s="12" customFormat="1" x14ac:dyDescent="0.3">
      <c r="A43" s="61" t="s">
        <v>132</v>
      </c>
      <c r="B43" s="9"/>
      <c r="C43" s="10"/>
      <c r="D43" s="9"/>
      <c r="E43" s="9"/>
      <c r="F43" s="9"/>
      <c r="G43" s="9"/>
      <c r="H43" s="9"/>
      <c r="I43" s="9"/>
      <c r="J43" s="9"/>
      <c r="K43" s="9"/>
      <c r="L43" s="9"/>
      <c r="M43" s="9">
        <v>3.0000000000000001E-3</v>
      </c>
      <c r="N43" s="38"/>
      <c r="O43" s="9"/>
      <c r="P43" s="9"/>
      <c r="Q43" s="9"/>
      <c r="R43" s="9"/>
      <c r="S43" s="11">
        <f t="shared" si="7"/>
        <v>6.6666666666666666E-2</v>
      </c>
      <c r="U43" s="13">
        <f t="shared" si="8"/>
        <v>3.0000000000000001E-3</v>
      </c>
      <c r="V43" s="19">
        <f t="shared" si="10"/>
        <v>3.1250000000000001E-5</v>
      </c>
      <c r="W43" s="19">
        <f t="shared" si="13"/>
        <v>4.8092337287592172E-4</v>
      </c>
    </row>
    <row r="44" spans="1:154" s="12" customFormat="1" x14ac:dyDescent="0.3">
      <c r="A44" s="61" t="s">
        <v>120</v>
      </c>
      <c r="B44" s="9" t="s">
        <v>37</v>
      </c>
      <c r="C44" s="10" t="s">
        <v>46</v>
      </c>
      <c r="D44" s="9"/>
      <c r="E44" s="9"/>
      <c r="F44" s="9"/>
      <c r="G44" s="9"/>
      <c r="H44" s="9"/>
      <c r="I44" s="9"/>
      <c r="J44" s="9"/>
      <c r="K44" s="15">
        <v>1</v>
      </c>
      <c r="L44" s="9"/>
      <c r="M44" s="9"/>
      <c r="N44" s="38"/>
      <c r="O44" s="9"/>
      <c r="P44" s="9"/>
      <c r="Q44" s="9"/>
      <c r="R44" s="9"/>
      <c r="S44" s="11">
        <f t="shared" si="7"/>
        <v>6.6666666666666666E-2</v>
      </c>
      <c r="U44" s="13">
        <f t="shared" si="8"/>
        <v>1</v>
      </c>
      <c r="V44" s="19">
        <f t="shared" si="10"/>
        <v>1.0416666666666666E-2</v>
      </c>
      <c r="W44" s="19"/>
    </row>
    <row r="45" spans="1:154" s="12" customFormat="1" x14ac:dyDescent="0.3">
      <c r="A45" s="61" t="s">
        <v>121</v>
      </c>
      <c r="B45" s="9" t="s">
        <v>37</v>
      </c>
      <c r="C45" s="10" t="s">
        <v>46</v>
      </c>
      <c r="D45" s="9"/>
      <c r="E45" s="9"/>
      <c r="F45" s="9"/>
      <c r="G45" s="9"/>
      <c r="H45" s="9"/>
      <c r="I45" s="9"/>
      <c r="J45" s="9"/>
      <c r="K45" s="9">
        <v>5.0000000000000001E-3</v>
      </c>
      <c r="L45" s="9"/>
      <c r="M45" s="9"/>
      <c r="N45" s="38"/>
      <c r="O45" s="9"/>
      <c r="P45" s="9"/>
      <c r="Q45" s="9"/>
      <c r="R45" s="9"/>
      <c r="S45" s="11">
        <f t="shared" si="7"/>
        <v>6.6666666666666666E-2</v>
      </c>
      <c r="U45" s="13">
        <f t="shared" si="8"/>
        <v>5.0000000000000001E-3</v>
      </c>
      <c r="V45" s="19">
        <f t="shared" si="10"/>
        <v>5.2083333333333337E-5</v>
      </c>
      <c r="W45" s="19">
        <f t="shared" si="13"/>
        <v>8.0153895479320291E-4</v>
      </c>
    </row>
    <row r="46" spans="1:154" s="12" customFormat="1" x14ac:dyDescent="0.3">
      <c r="A46" s="61" t="s">
        <v>94</v>
      </c>
      <c r="B46" s="9" t="s">
        <v>37</v>
      </c>
      <c r="C46" s="10" t="s">
        <v>46</v>
      </c>
      <c r="D46" s="9"/>
      <c r="E46" s="9"/>
      <c r="F46" s="26">
        <v>0.5</v>
      </c>
      <c r="G46" s="9"/>
      <c r="H46" s="9"/>
      <c r="I46" s="9"/>
      <c r="J46" s="9"/>
      <c r="K46" s="26">
        <v>0.5</v>
      </c>
      <c r="L46" s="9"/>
      <c r="M46" s="9"/>
      <c r="N46" s="38"/>
      <c r="O46" s="9"/>
      <c r="P46" s="9"/>
      <c r="Q46" s="9"/>
      <c r="R46" s="9"/>
      <c r="S46" s="11">
        <f t="shared" si="7"/>
        <v>0.13333333333333333</v>
      </c>
      <c r="U46" s="13">
        <f t="shared" si="8"/>
        <v>1</v>
      </c>
      <c r="V46" s="19">
        <f t="shared" si="10"/>
        <v>1.0416666666666666E-2</v>
      </c>
      <c r="W46" s="19"/>
    </row>
    <row r="47" spans="1:154" s="12" customFormat="1" x14ac:dyDescent="0.3">
      <c r="A47" s="61" t="s">
        <v>95</v>
      </c>
      <c r="B47" s="9" t="s">
        <v>37</v>
      </c>
      <c r="C47" s="10" t="s">
        <v>46</v>
      </c>
      <c r="D47" s="9"/>
      <c r="E47" s="9"/>
      <c r="F47" s="15">
        <v>0</v>
      </c>
      <c r="G47" s="9"/>
      <c r="H47" s="9"/>
      <c r="I47" s="9"/>
      <c r="J47" s="9"/>
      <c r="K47" s="25">
        <f>0.009+0.011</f>
        <v>1.9999999999999997E-2</v>
      </c>
      <c r="L47" s="9"/>
      <c r="M47" s="9"/>
      <c r="N47" s="38"/>
      <c r="O47" s="9"/>
      <c r="P47" s="9"/>
      <c r="Q47" s="9"/>
      <c r="R47" s="9"/>
      <c r="S47" s="11">
        <f t="shared" si="7"/>
        <v>0.13333333333333333</v>
      </c>
      <c r="U47" s="13">
        <f t="shared" si="8"/>
        <v>1.9999999999999997E-2</v>
      </c>
      <c r="V47" s="19">
        <f t="shared" si="10"/>
        <v>2.0833333333333329E-4</v>
      </c>
      <c r="W47" s="19">
        <f t="shared" si="13"/>
        <v>3.2061558191728112E-3</v>
      </c>
    </row>
    <row r="48" spans="1:154" x14ac:dyDescent="0.3">
      <c r="S48" s="11"/>
      <c r="T48" s="13"/>
      <c r="U48" s="13"/>
      <c r="V48" s="19"/>
      <c r="W48" s="19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EX48" s="13"/>
    </row>
    <row r="49" spans="1:154" x14ac:dyDescent="0.3">
      <c r="A49" s="6" t="s">
        <v>65</v>
      </c>
      <c r="E49" s="26">
        <f>SUM(E37+E38+E41+E44+E46)</f>
        <v>0.5</v>
      </c>
      <c r="F49" s="26">
        <f t="shared" ref="F49:M49" si="14">SUM(F37+F38+F41+F44+F46)</f>
        <v>0.5</v>
      </c>
      <c r="K49" s="26">
        <f t="shared" si="14"/>
        <v>3.5</v>
      </c>
      <c r="M49" s="26">
        <f t="shared" si="14"/>
        <v>0.5</v>
      </c>
      <c r="N49" s="9"/>
      <c r="S49" s="11">
        <f t="shared" si="7"/>
        <v>0.26666666666666666</v>
      </c>
      <c r="U49" s="13">
        <f t="shared" si="8"/>
        <v>5</v>
      </c>
      <c r="V49" s="19">
        <f t="shared" si="10"/>
        <v>5.2083333333333336E-2</v>
      </c>
      <c r="W49" s="19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EX49" s="13"/>
    </row>
    <row r="50" spans="1:154" x14ac:dyDescent="0.3">
      <c r="A50" s="6" t="s">
        <v>66</v>
      </c>
      <c r="E50" s="9">
        <f>SUM(E39+E40+E42+E43+E45+E47)</f>
        <v>1E-3</v>
      </c>
      <c r="F50" s="15">
        <f t="shared" ref="F50:O50" si="15">SUM(F39+F40+F42+F43+F45+F47)</f>
        <v>0</v>
      </c>
      <c r="K50" s="9">
        <f t="shared" si="15"/>
        <v>5.2999999999999999E-2</v>
      </c>
      <c r="M50" s="9">
        <f t="shared" si="15"/>
        <v>3.0000000000000001E-3</v>
      </c>
      <c r="N50" s="9"/>
      <c r="O50" s="9">
        <f t="shared" si="15"/>
        <v>1E-3</v>
      </c>
      <c r="S50" s="11">
        <f t="shared" si="7"/>
        <v>0.33333333333333331</v>
      </c>
      <c r="U50" s="13">
        <f t="shared" si="8"/>
        <v>5.8000000000000003E-2</v>
      </c>
      <c r="V50" s="19"/>
      <c r="W50" s="19">
        <f t="shared" si="13"/>
        <v>9.2978518756011534E-3</v>
      </c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EX50" s="13"/>
    </row>
    <row r="51" spans="1:154" s="59" customFormat="1" x14ac:dyDescent="0.3">
      <c r="A51" s="58" t="s">
        <v>16</v>
      </c>
      <c r="B51" s="30"/>
      <c r="C51" s="31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57"/>
      <c r="O51" s="30"/>
      <c r="P51" s="30"/>
      <c r="Q51" s="30"/>
      <c r="R51" s="30"/>
      <c r="S51" s="60"/>
      <c r="V51" s="21"/>
    </row>
    <row r="52" spans="1:154" s="12" customFormat="1" x14ac:dyDescent="0.3">
      <c r="A52" s="61" t="s">
        <v>86</v>
      </c>
      <c r="B52" s="9" t="s">
        <v>42</v>
      </c>
      <c r="C52" s="10" t="s">
        <v>46</v>
      </c>
      <c r="D52" s="9"/>
      <c r="E52" s="15">
        <v>1</v>
      </c>
      <c r="F52" s="9"/>
      <c r="G52" s="9"/>
      <c r="H52" s="9"/>
      <c r="I52" s="9"/>
      <c r="J52" s="9"/>
      <c r="K52" s="9"/>
      <c r="L52" s="9"/>
      <c r="M52" s="9"/>
      <c r="N52" s="38"/>
      <c r="O52" s="9"/>
      <c r="P52" s="9"/>
      <c r="Q52" s="9"/>
      <c r="R52" s="9"/>
      <c r="S52" s="11">
        <f t="shared" si="7"/>
        <v>6.6666666666666666E-2</v>
      </c>
      <c r="U52" s="13">
        <f t="shared" si="8"/>
        <v>1</v>
      </c>
      <c r="V52" s="19">
        <f t="shared" si="10"/>
        <v>1.0416666666666666E-2</v>
      </c>
      <c r="W52" s="19"/>
    </row>
    <row r="53" spans="1:154" s="12" customFormat="1" x14ac:dyDescent="0.3">
      <c r="A53" s="61" t="s">
        <v>87</v>
      </c>
      <c r="B53" s="9" t="s">
        <v>42</v>
      </c>
      <c r="C53" s="10" t="s">
        <v>46</v>
      </c>
      <c r="D53" s="9"/>
      <c r="E53" s="15">
        <v>0</v>
      </c>
      <c r="F53" s="9"/>
      <c r="G53" s="9"/>
      <c r="H53" s="9"/>
      <c r="I53" s="9"/>
      <c r="J53" s="9"/>
      <c r="K53" s="9"/>
      <c r="L53" s="9"/>
      <c r="M53" s="9"/>
      <c r="N53" s="38"/>
      <c r="O53" s="9"/>
      <c r="P53" s="9"/>
      <c r="Q53" s="9"/>
      <c r="R53" s="9"/>
      <c r="S53" s="11">
        <f t="shared" si="7"/>
        <v>6.6666666666666666E-2</v>
      </c>
      <c r="U53" s="13">
        <f t="shared" si="8"/>
        <v>0</v>
      </c>
      <c r="V53" s="19">
        <f t="shared" si="10"/>
        <v>0</v>
      </c>
      <c r="W53" s="19">
        <f t="shared" si="13"/>
        <v>0</v>
      </c>
    </row>
    <row r="54" spans="1:154" s="12" customFormat="1" x14ac:dyDescent="0.3">
      <c r="A54" s="61" t="s">
        <v>81</v>
      </c>
      <c r="B54" s="9" t="s">
        <v>83</v>
      </c>
      <c r="C54" s="10" t="s">
        <v>46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38"/>
      <c r="O54" s="9"/>
      <c r="P54" s="9"/>
      <c r="Q54" s="9"/>
      <c r="R54" s="9"/>
      <c r="S54" s="11">
        <f t="shared" si="7"/>
        <v>0</v>
      </c>
      <c r="U54" s="13">
        <f t="shared" si="8"/>
        <v>0</v>
      </c>
      <c r="V54" s="19">
        <f t="shared" si="10"/>
        <v>0</v>
      </c>
      <c r="W54" s="19"/>
    </row>
    <row r="55" spans="1:154" s="12" customFormat="1" x14ac:dyDescent="0.3">
      <c r="A55" s="61" t="s">
        <v>82</v>
      </c>
      <c r="B55" s="9" t="s">
        <v>83</v>
      </c>
      <c r="C55" s="10" t="s">
        <v>46</v>
      </c>
      <c r="D55" s="9"/>
      <c r="E55" s="25">
        <v>0.06</v>
      </c>
      <c r="F55" s="9">
        <v>6.9000000000000006E-2</v>
      </c>
      <c r="G55" s="9">
        <f>0.329+0.024</f>
        <v>0.35300000000000004</v>
      </c>
      <c r="H55" s="25">
        <f>0.12+0</f>
        <v>0.12</v>
      </c>
      <c r="I55" s="9">
        <v>4.3999999999999997E-2</v>
      </c>
      <c r="J55" s="9">
        <f>0.269+0.006</f>
        <v>0.27500000000000002</v>
      </c>
      <c r="K55" s="9">
        <f>0.209+0.02</f>
        <v>0.22899999999999998</v>
      </c>
      <c r="L55" s="9">
        <f>0.097+0.062</f>
        <v>0.159</v>
      </c>
      <c r="M55" s="9">
        <v>0.28799999999999998</v>
      </c>
      <c r="N55" s="38">
        <v>9.7000000000000003E-2</v>
      </c>
      <c r="O55" s="9"/>
      <c r="P55" s="9">
        <v>3.9E-2</v>
      </c>
      <c r="Q55" s="9">
        <v>4.4999999999999998E-2</v>
      </c>
      <c r="R55" s="9">
        <v>4.9000000000000002E-2</v>
      </c>
      <c r="S55" s="11">
        <f t="shared" si="7"/>
        <v>0.8666666666666667</v>
      </c>
      <c r="U55" s="13">
        <f t="shared" si="8"/>
        <v>1.827</v>
      </c>
      <c r="V55" s="19">
        <f t="shared" si="10"/>
        <v>1.903125E-2</v>
      </c>
      <c r="W55" s="19">
        <f t="shared" si="13"/>
        <v>0.29288233408143632</v>
      </c>
    </row>
    <row r="56" spans="1:154" s="12" customFormat="1" x14ac:dyDescent="0.3">
      <c r="A56" s="61" t="s">
        <v>142</v>
      </c>
      <c r="B56" s="9" t="s">
        <v>114</v>
      </c>
      <c r="C56" s="10" t="s">
        <v>143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38"/>
      <c r="O56" s="9"/>
      <c r="P56" s="9"/>
      <c r="Q56" s="9"/>
      <c r="R56" s="15">
        <v>0</v>
      </c>
      <c r="S56" s="11">
        <f t="shared" si="7"/>
        <v>6.6666666666666666E-2</v>
      </c>
      <c r="U56" s="13">
        <f t="shared" si="8"/>
        <v>0</v>
      </c>
      <c r="V56" s="19">
        <f t="shared" si="10"/>
        <v>0</v>
      </c>
      <c r="W56" s="19">
        <f t="shared" si="13"/>
        <v>0</v>
      </c>
    </row>
    <row r="57" spans="1:154" s="17" customFormat="1" x14ac:dyDescent="0.3">
      <c r="A57" s="4" t="s">
        <v>43</v>
      </c>
      <c r="B57" s="15" t="s">
        <v>44</v>
      </c>
      <c r="C57" s="16" t="s">
        <v>46</v>
      </c>
      <c r="D57" s="15"/>
      <c r="E57" s="15"/>
      <c r="F57" s="15"/>
      <c r="G57" s="15">
        <v>0</v>
      </c>
      <c r="H57" s="15"/>
      <c r="I57" s="15"/>
      <c r="J57" s="15"/>
      <c r="K57" s="15"/>
      <c r="L57" s="15"/>
      <c r="M57" s="15"/>
      <c r="N57" s="39"/>
      <c r="O57" s="15"/>
      <c r="P57" s="15"/>
      <c r="Q57" s="15"/>
      <c r="R57" s="15"/>
      <c r="S57" s="11">
        <f t="shared" si="7"/>
        <v>6.6666666666666666E-2</v>
      </c>
      <c r="U57" s="13">
        <f t="shared" si="8"/>
        <v>0</v>
      </c>
      <c r="V57" s="19">
        <f t="shared" si="10"/>
        <v>0</v>
      </c>
      <c r="W57" s="19"/>
    </row>
    <row r="58" spans="1:154" x14ac:dyDescent="0.3">
      <c r="A58" s="32" t="s">
        <v>72</v>
      </c>
      <c r="B58" s="9" t="s">
        <v>44</v>
      </c>
      <c r="C58" s="10" t="s">
        <v>46</v>
      </c>
      <c r="E58" s="9">
        <v>7.0000000000000001E-3</v>
      </c>
      <c r="G58" s="9">
        <v>0</v>
      </c>
      <c r="S58" s="11">
        <f t="shared" si="7"/>
        <v>0.13333333333333333</v>
      </c>
      <c r="T58" s="13"/>
      <c r="U58" s="13">
        <f t="shared" si="8"/>
        <v>7.0000000000000001E-3</v>
      </c>
      <c r="V58" s="19">
        <f t="shared" si="10"/>
        <v>7.2916666666666673E-5</v>
      </c>
      <c r="W58" s="19">
        <f t="shared" si="13"/>
        <v>1.122154536710484E-3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EX58" s="13"/>
    </row>
    <row r="59" spans="1:154" x14ac:dyDescent="0.3">
      <c r="A59" s="32" t="s">
        <v>109</v>
      </c>
      <c r="B59" s="9" t="s">
        <v>107</v>
      </c>
      <c r="C59" s="10" t="s">
        <v>108</v>
      </c>
      <c r="H59" s="9">
        <v>7.0000000000000001E-3</v>
      </c>
      <c r="S59" s="11">
        <f t="shared" si="7"/>
        <v>6.6666666666666666E-2</v>
      </c>
      <c r="T59" s="13"/>
      <c r="U59" s="13">
        <f t="shared" si="8"/>
        <v>7.0000000000000001E-3</v>
      </c>
      <c r="V59" s="19">
        <f t="shared" si="10"/>
        <v>7.2916666666666673E-5</v>
      </c>
      <c r="W59" s="19">
        <f t="shared" si="13"/>
        <v>1.122154536710484E-3</v>
      </c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EX59" s="13"/>
    </row>
    <row r="60" spans="1:154" x14ac:dyDescent="0.3">
      <c r="S60" s="11"/>
      <c r="T60" s="13"/>
      <c r="U60" s="13"/>
      <c r="V60" s="19"/>
      <c r="W60" s="19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EX60" s="13"/>
    </row>
    <row r="61" spans="1:154" x14ac:dyDescent="0.3">
      <c r="A61" s="6" t="s">
        <v>67</v>
      </c>
      <c r="E61" s="15">
        <f>SUM(E52+E54+E57)</f>
        <v>1</v>
      </c>
      <c r="F61" s="15">
        <f t="shared" ref="F61:R61" si="16">SUM(F52+F54+F57)</f>
        <v>0</v>
      </c>
      <c r="G61" s="15">
        <f t="shared" si="16"/>
        <v>0</v>
      </c>
      <c r="H61" s="15">
        <f t="shared" si="16"/>
        <v>0</v>
      </c>
      <c r="I61" s="15">
        <f t="shared" si="16"/>
        <v>0</v>
      </c>
      <c r="J61" s="15">
        <f t="shared" si="16"/>
        <v>0</v>
      </c>
      <c r="K61" s="15">
        <f t="shared" si="16"/>
        <v>0</v>
      </c>
      <c r="L61" s="15">
        <f t="shared" si="16"/>
        <v>0</v>
      </c>
      <c r="M61" s="15">
        <f t="shared" si="16"/>
        <v>0</v>
      </c>
      <c r="N61" s="15">
        <f t="shared" si="16"/>
        <v>0</v>
      </c>
      <c r="P61" s="15">
        <f t="shared" si="16"/>
        <v>0</v>
      </c>
      <c r="Q61" s="15">
        <f t="shared" si="16"/>
        <v>0</v>
      </c>
      <c r="R61" s="15">
        <f t="shared" si="16"/>
        <v>0</v>
      </c>
      <c r="S61" s="11">
        <f t="shared" si="7"/>
        <v>0.8666666666666667</v>
      </c>
      <c r="U61" s="13">
        <f t="shared" si="8"/>
        <v>1</v>
      </c>
      <c r="V61" s="19">
        <f t="shared" si="10"/>
        <v>1.0416666666666666E-2</v>
      </c>
      <c r="W61" s="19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EX61" s="13"/>
    </row>
    <row r="62" spans="1:154" x14ac:dyDescent="0.3">
      <c r="A62" s="6" t="s">
        <v>68</v>
      </c>
      <c r="E62" s="9">
        <f>SUM(E53+E55+E56+E58+E59)</f>
        <v>6.7000000000000004E-2</v>
      </c>
      <c r="F62" s="9">
        <f>SUM(F53+F55+F56+F58+F59)</f>
        <v>6.9000000000000006E-2</v>
      </c>
      <c r="G62" s="9">
        <f t="shared" ref="G62:R62" si="17">SUM(G53+G55+G56+G58+G59)</f>
        <v>0.35300000000000004</v>
      </c>
      <c r="H62" s="9">
        <f t="shared" si="17"/>
        <v>0.127</v>
      </c>
      <c r="I62" s="9">
        <f t="shared" si="17"/>
        <v>4.3999999999999997E-2</v>
      </c>
      <c r="J62" s="9">
        <f t="shared" si="17"/>
        <v>0.27500000000000002</v>
      </c>
      <c r="K62" s="9">
        <f t="shared" si="17"/>
        <v>0.22899999999999998</v>
      </c>
      <c r="L62" s="9">
        <f t="shared" si="17"/>
        <v>0.159</v>
      </c>
      <c r="M62" s="9">
        <f t="shared" si="17"/>
        <v>0.28799999999999998</v>
      </c>
      <c r="N62" s="9">
        <f t="shared" si="17"/>
        <v>9.7000000000000003E-2</v>
      </c>
      <c r="P62" s="9">
        <f t="shared" si="17"/>
        <v>3.9E-2</v>
      </c>
      <c r="Q62" s="9">
        <f t="shared" si="17"/>
        <v>4.4999999999999998E-2</v>
      </c>
      <c r="R62" s="9">
        <f t="shared" si="17"/>
        <v>4.9000000000000002E-2</v>
      </c>
      <c r="S62" s="11">
        <f>COUNT(D62:R62)/15</f>
        <v>0.8666666666666667</v>
      </c>
      <c r="U62" s="13">
        <f t="shared" si="8"/>
        <v>1.841</v>
      </c>
      <c r="V62" s="19"/>
      <c r="W62" s="19">
        <f t="shared" si="13"/>
        <v>0.29512664315485732</v>
      </c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EX62" s="13"/>
    </row>
    <row r="63" spans="1:154" x14ac:dyDescent="0.3">
      <c r="A63" s="6"/>
      <c r="S63" s="11"/>
      <c r="U63" s="13"/>
      <c r="V63" s="19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EX63" s="13"/>
    </row>
    <row r="64" spans="1:154" x14ac:dyDescent="0.3">
      <c r="A64" s="18" t="s">
        <v>69</v>
      </c>
      <c r="E64" s="26">
        <f t="shared" ref="E64:R64" si="18">SUM(E61+E34+E49)</f>
        <v>2.5</v>
      </c>
      <c r="F64" s="26">
        <f t="shared" si="18"/>
        <v>9.5</v>
      </c>
      <c r="G64" s="15">
        <f t="shared" si="18"/>
        <v>0</v>
      </c>
      <c r="H64" s="15">
        <f t="shared" si="18"/>
        <v>0</v>
      </c>
      <c r="I64" s="15">
        <f t="shared" si="18"/>
        <v>0</v>
      </c>
      <c r="J64" s="15">
        <f t="shared" si="18"/>
        <v>1</v>
      </c>
      <c r="K64" s="26">
        <f t="shared" si="18"/>
        <v>10.5</v>
      </c>
      <c r="L64" s="15">
        <f t="shared" si="18"/>
        <v>0</v>
      </c>
      <c r="M64" s="26">
        <f t="shared" si="18"/>
        <v>13.5</v>
      </c>
      <c r="N64" s="39">
        <f t="shared" si="18"/>
        <v>0</v>
      </c>
      <c r="O64" s="15">
        <f t="shared" si="18"/>
        <v>0</v>
      </c>
      <c r="P64" s="15">
        <f t="shared" si="18"/>
        <v>0</v>
      </c>
      <c r="Q64" s="15">
        <f t="shared" si="18"/>
        <v>0</v>
      </c>
      <c r="R64" s="15">
        <f t="shared" si="18"/>
        <v>0</v>
      </c>
      <c r="S64" s="11">
        <f t="shared" si="7"/>
        <v>0.93333333333333335</v>
      </c>
      <c r="U64" s="13">
        <f t="shared" si="8"/>
        <v>37</v>
      </c>
      <c r="V64" s="19">
        <f t="shared" si="10"/>
        <v>0.38541666666666669</v>
      </c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EX64" s="13"/>
    </row>
    <row r="65" spans="1:154" x14ac:dyDescent="0.3">
      <c r="A65" s="18" t="s">
        <v>70</v>
      </c>
      <c r="E65" s="9">
        <f t="shared" ref="E65:R65" si="19">SUM(E35+E50+E62)</f>
        <v>7.2000000000000008E-2</v>
      </c>
      <c r="F65" s="9">
        <f t="shared" si="19"/>
        <v>0.14100000000000001</v>
      </c>
      <c r="G65" s="9">
        <f t="shared" si="19"/>
        <v>0.38800000000000001</v>
      </c>
      <c r="H65" s="9">
        <f t="shared" si="19"/>
        <v>0.127</v>
      </c>
      <c r="I65" s="9">
        <f t="shared" si="19"/>
        <v>4.3999999999999997E-2</v>
      </c>
      <c r="J65" s="9">
        <f t="shared" si="19"/>
        <v>0.29100000000000004</v>
      </c>
      <c r="K65" s="9">
        <f t="shared" si="19"/>
        <v>0.43199999999999994</v>
      </c>
      <c r="L65" s="9">
        <f t="shared" si="19"/>
        <v>0.159</v>
      </c>
      <c r="M65" s="25">
        <f t="shared" si="19"/>
        <v>0.43999999999999995</v>
      </c>
      <c r="N65" s="38">
        <f t="shared" si="19"/>
        <v>9.7000000000000003E-2</v>
      </c>
      <c r="O65" s="9">
        <f t="shared" si="19"/>
        <v>1E-3</v>
      </c>
      <c r="P65" s="9">
        <f t="shared" si="19"/>
        <v>3.9E-2</v>
      </c>
      <c r="Q65" s="9">
        <f t="shared" si="19"/>
        <v>4.4999999999999998E-2</v>
      </c>
      <c r="R65" s="9">
        <f t="shared" si="19"/>
        <v>4.9000000000000002E-2</v>
      </c>
      <c r="S65" s="11">
        <f t="shared" si="7"/>
        <v>0.93333333333333335</v>
      </c>
      <c r="U65" s="13">
        <f t="shared" si="8"/>
        <v>2.3250000000000002</v>
      </c>
      <c r="V65" s="19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EX65" s="13"/>
    </row>
    <row r="66" spans="1:154" x14ac:dyDescent="0.3">
      <c r="S66" s="11"/>
      <c r="T66" s="13"/>
      <c r="U66" s="13"/>
      <c r="V66" s="19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EX66" s="13"/>
    </row>
    <row r="67" spans="1:154" s="28" customFormat="1" x14ac:dyDescent="0.3">
      <c r="A67" s="53" t="s">
        <v>17</v>
      </c>
      <c r="B67" s="52"/>
      <c r="C67" s="54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1"/>
      <c r="O67" s="52"/>
      <c r="P67" s="52"/>
      <c r="Q67" s="52"/>
      <c r="R67" s="52"/>
      <c r="S67" s="55"/>
      <c r="V67" s="20"/>
    </row>
    <row r="68" spans="1:154" s="9" customFormat="1" x14ac:dyDescent="0.3">
      <c r="A68" s="61" t="s">
        <v>136</v>
      </c>
      <c r="B68" s="2"/>
      <c r="C68" s="62"/>
      <c r="D68" s="63"/>
      <c r="E68" s="63"/>
      <c r="F68" s="63"/>
      <c r="G68" s="63"/>
      <c r="H68" s="63"/>
      <c r="I68" s="63"/>
      <c r="J68" s="63"/>
      <c r="K68" s="63"/>
      <c r="L68" s="63"/>
      <c r="M68" s="63">
        <v>4</v>
      </c>
      <c r="N68" s="64"/>
      <c r="O68" s="63"/>
      <c r="P68" s="63"/>
      <c r="Q68" s="63"/>
      <c r="R68" s="63"/>
      <c r="S68" s="11">
        <f t="shared" ref="S68:S91" si="20">COUNT(D68:R68)/15</f>
        <v>6.6666666666666666E-2</v>
      </c>
      <c r="U68" s="13">
        <f t="shared" ref="U68:U91" si="21">SUM(D68:R68)</f>
        <v>4</v>
      </c>
      <c r="V68" s="19">
        <f t="shared" ref="V68:V89" si="22">(U68)/96</f>
        <v>4.1666666666666664E-2</v>
      </c>
    </row>
    <row r="69" spans="1:154" s="9" customFormat="1" x14ac:dyDescent="0.3">
      <c r="A69" s="61" t="s">
        <v>110</v>
      </c>
      <c r="B69" s="2"/>
      <c r="C69" s="62"/>
      <c r="D69" s="63"/>
      <c r="E69" s="63"/>
      <c r="F69" s="63"/>
      <c r="G69" s="63"/>
      <c r="H69" s="63"/>
      <c r="I69" s="63"/>
      <c r="J69" s="63"/>
      <c r="K69" s="63"/>
      <c r="L69" s="63"/>
      <c r="M69" s="63">
        <v>7</v>
      </c>
      <c r="N69" s="64"/>
      <c r="O69" s="63"/>
      <c r="P69" s="63"/>
      <c r="Q69" s="63"/>
      <c r="R69" s="63"/>
      <c r="S69" s="11">
        <f t="shared" si="20"/>
        <v>6.6666666666666666E-2</v>
      </c>
      <c r="U69" s="13">
        <f t="shared" si="21"/>
        <v>7</v>
      </c>
      <c r="V69" s="19">
        <f t="shared" si="22"/>
        <v>7.2916666666666671E-2</v>
      </c>
    </row>
    <row r="70" spans="1:154" x14ac:dyDescent="0.3">
      <c r="A70" s="32" t="s">
        <v>137</v>
      </c>
      <c r="D70" s="15"/>
      <c r="E70" s="15"/>
      <c r="F70" s="15"/>
      <c r="G70" s="15"/>
      <c r="H70" s="15"/>
      <c r="I70" s="15"/>
      <c r="J70" s="15"/>
      <c r="K70" s="15"/>
      <c r="L70" s="15"/>
      <c r="M70" s="15">
        <v>2</v>
      </c>
      <c r="N70" s="39"/>
      <c r="O70" s="15"/>
      <c r="P70" s="15"/>
      <c r="Q70" s="15"/>
      <c r="R70" s="15"/>
      <c r="S70" s="11">
        <f t="shared" si="20"/>
        <v>6.6666666666666666E-2</v>
      </c>
      <c r="U70" s="13">
        <f t="shared" si="21"/>
        <v>2</v>
      </c>
      <c r="V70" s="19">
        <f t="shared" si="22"/>
        <v>2.0833333333333332E-2</v>
      </c>
    </row>
    <row r="71" spans="1:154" x14ac:dyDescent="0.3">
      <c r="A71" s="32" t="s">
        <v>138</v>
      </c>
      <c r="D71" s="15"/>
      <c r="E71" s="15"/>
      <c r="F71" s="15"/>
      <c r="G71" s="15"/>
      <c r="H71" s="15"/>
      <c r="I71" s="15"/>
      <c r="J71" s="15"/>
      <c r="K71" s="15"/>
      <c r="L71" s="15"/>
      <c r="M71" s="15">
        <v>1</v>
      </c>
      <c r="N71" s="39"/>
      <c r="O71" s="15"/>
      <c r="P71" s="15"/>
      <c r="Q71" s="15"/>
      <c r="R71" s="15"/>
      <c r="S71" s="11">
        <f t="shared" si="20"/>
        <v>6.6666666666666666E-2</v>
      </c>
      <c r="U71" s="13">
        <f t="shared" si="21"/>
        <v>1</v>
      </c>
      <c r="V71" s="19">
        <f t="shared" si="22"/>
        <v>1.0416666666666666E-2</v>
      </c>
      <c r="EX71" s="12"/>
    </row>
    <row r="72" spans="1:154" s="9" customFormat="1" x14ac:dyDescent="0.3">
      <c r="A72" s="61" t="s">
        <v>97</v>
      </c>
      <c r="B72" s="2"/>
      <c r="C72" s="62"/>
      <c r="D72" s="63"/>
      <c r="E72" s="63"/>
      <c r="F72" s="63">
        <v>1</v>
      </c>
      <c r="G72" s="63"/>
      <c r="H72" s="63"/>
      <c r="I72" s="63"/>
      <c r="J72" s="63"/>
      <c r="K72" s="63"/>
      <c r="L72" s="63"/>
      <c r="M72" s="63"/>
      <c r="N72" s="64"/>
      <c r="O72" s="63"/>
      <c r="P72" s="63"/>
      <c r="Q72" s="63"/>
      <c r="R72" s="63"/>
      <c r="S72" s="11">
        <f t="shared" si="20"/>
        <v>6.6666666666666666E-2</v>
      </c>
      <c r="U72" s="13">
        <f t="shared" si="21"/>
        <v>1</v>
      </c>
      <c r="V72" s="19">
        <f t="shared" si="22"/>
        <v>1.0416666666666666E-2</v>
      </c>
    </row>
    <row r="73" spans="1:154" s="9" customFormat="1" x14ac:dyDescent="0.3">
      <c r="A73" s="61" t="s">
        <v>128</v>
      </c>
      <c r="B73" s="2"/>
      <c r="C73" s="62"/>
      <c r="D73" s="63"/>
      <c r="E73" s="63"/>
      <c r="F73" s="63"/>
      <c r="G73" s="63"/>
      <c r="H73" s="63"/>
      <c r="I73" s="63"/>
      <c r="J73" s="63"/>
      <c r="K73" s="63"/>
      <c r="L73" s="63"/>
      <c r="M73" s="63">
        <v>1</v>
      </c>
      <c r="N73" s="64"/>
      <c r="O73" s="63"/>
      <c r="P73" s="63"/>
      <c r="Q73" s="63"/>
      <c r="R73" s="63"/>
      <c r="S73" s="11">
        <f t="shared" si="20"/>
        <v>6.6666666666666666E-2</v>
      </c>
      <c r="U73" s="13">
        <f t="shared" si="21"/>
        <v>1</v>
      </c>
      <c r="V73" s="19">
        <f t="shared" si="22"/>
        <v>1.0416666666666666E-2</v>
      </c>
    </row>
    <row r="74" spans="1:154" s="9" customFormat="1" x14ac:dyDescent="0.3">
      <c r="A74" s="61" t="s">
        <v>134</v>
      </c>
      <c r="B74" s="2"/>
      <c r="C74" s="62"/>
      <c r="D74" s="63"/>
      <c r="E74" s="63"/>
      <c r="F74" s="63"/>
      <c r="G74" s="63"/>
      <c r="H74" s="63"/>
      <c r="I74" s="63"/>
      <c r="J74" s="63"/>
      <c r="K74" s="63"/>
      <c r="L74" s="63"/>
      <c r="M74" s="63">
        <v>9</v>
      </c>
      <c r="N74" s="64"/>
      <c r="O74" s="63"/>
      <c r="P74" s="63"/>
      <c r="Q74" s="63"/>
      <c r="R74" s="63"/>
      <c r="S74" s="11">
        <f t="shared" si="20"/>
        <v>6.6666666666666666E-2</v>
      </c>
      <c r="U74" s="13">
        <f t="shared" si="21"/>
        <v>9</v>
      </c>
      <c r="V74" s="19">
        <f t="shared" si="22"/>
        <v>9.375E-2</v>
      </c>
    </row>
    <row r="75" spans="1:154" s="17" customFormat="1" x14ac:dyDescent="0.3">
      <c r="A75" s="3" t="s">
        <v>53</v>
      </c>
      <c r="B75" s="15" t="s">
        <v>34</v>
      </c>
      <c r="C75" s="16" t="s">
        <v>46</v>
      </c>
      <c r="D75" s="15"/>
      <c r="E75" s="15">
        <v>1</v>
      </c>
      <c r="F75" s="15">
        <v>7</v>
      </c>
      <c r="G75" s="15"/>
      <c r="H75" s="15"/>
      <c r="I75" s="15"/>
      <c r="J75" s="15"/>
      <c r="K75" s="15"/>
      <c r="L75" s="15"/>
      <c r="M75" s="15"/>
      <c r="N75" s="39"/>
      <c r="O75" s="15"/>
      <c r="P75" s="15"/>
      <c r="Q75" s="15"/>
      <c r="R75" s="15"/>
      <c r="S75" s="11">
        <f t="shared" si="20"/>
        <v>0.13333333333333333</v>
      </c>
      <c r="U75" s="13">
        <f t="shared" si="21"/>
        <v>8</v>
      </c>
      <c r="V75" s="19">
        <f t="shared" si="22"/>
        <v>8.3333333333333329E-2</v>
      </c>
    </row>
    <row r="76" spans="1:154" s="17" customFormat="1" x14ac:dyDescent="0.3">
      <c r="A76" s="3" t="s">
        <v>98</v>
      </c>
      <c r="B76" s="15" t="s">
        <v>36</v>
      </c>
      <c r="C76" s="16" t="s">
        <v>46</v>
      </c>
      <c r="D76" s="15"/>
      <c r="E76" s="15"/>
      <c r="F76" s="15">
        <v>1</v>
      </c>
      <c r="G76" s="15"/>
      <c r="H76" s="15"/>
      <c r="I76" s="15"/>
      <c r="J76" s="15"/>
      <c r="K76" s="15"/>
      <c r="L76" s="15"/>
      <c r="M76" s="15"/>
      <c r="N76" s="39"/>
      <c r="O76" s="15"/>
      <c r="P76" s="15"/>
      <c r="Q76" s="15"/>
      <c r="R76" s="15"/>
      <c r="S76" s="11">
        <f t="shared" si="20"/>
        <v>6.6666666666666666E-2</v>
      </c>
      <c r="U76" s="13">
        <f t="shared" si="21"/>
        <v>1</v>
      </c>
      <c r="V76" s="19">
        <f t="shared" si="22"/>
        <v>1.0416666666666666E-2</v>
      </c>
    </row>
    <row r="77" spans="1:154" s="17" customFormat="1" x14ac:dyDescent="0.3">
      <c r="A77" s="3" t="s">
        <v>160</v>
      </c>
      <c r="B77" s="15"/>
      <c r="C77" s="16"/>
      <c r="D77" s="15"/>
      <c r="E77" s="15"/>
      <c r="F77" s="15">
        <v>1</v>
      </c>
      <c r="G77" s="15"/>
      <c r="H77" s="15"/>
      <c r="I77" s="15"/>
      <c r="J77" s="15"/>
      <c r="K77" s="15"/>
      <c r="L77" s="15"/>
      <c r="M77" s="15"/>
      <c r="N77" s="39"/>
      <c r="O77" s="15"/>
      <c r="P77" s="15"/>
      <c r="Q77" s="15"/>
      <c r="R77" s="15"/>
      <c r="S77" s="11">
        <f t="shared" si="20"/>
        <v>6.6666666666666666E-2</v>
      </c>
      <c r="U77" s="13">
        <f t="shared" si="21"/>
        <v>1</v>
      </c>
      <c r="V77" s="19">
        <f t="shared" si="22"/>
        <v>1.0416666666666666E-2</v>
      </c>
    </row>
    <row r="78" spans="1:154" s="17" customFormat="1" x14ac:dyDescent="0.3">
      <c r="A78" s="3" t="s">
        <v>37</v>
      </c>
      <c r="B78" s="15"/>
      <c r="C78" s="16"/>
      <c r="D78" s="15"/>
      <c r="E78" s="15"/>
      <c r="F78" s="15"/>
      <c r="G78" s="15"/>
      <c r="H78" s="15"/>
      <c r="I78" s="15"/>
      <c r="J78" s="15"/>
      <c r="K78" s="15"/>
      <c r="L78" s="15"/>
      <c r="M78" s="15">
        <v>1</v>
      </c>
      <c r="N78" s="39"/>
      <c r="O78" s="15"/>
      <c r="P78" s="15"/>
      <c r="Q78" s="15"/>
      <c r="R78" s="15"/>
      <c r="S78" s="11">
        <f t="shared" si="20"/>
        <v>6.6666666666666666E-2</v>
      </c>
      <c r="U78" s="13">
        <f t="shared" si="21"/>
        <v>1</v>
      </c>
      <c r="V78" s="19"/>
    </row>
    <row r="79" spans="1:154" s="17" customFormat="1" x14ac:dyDescent="0.3">
      <c r="A79" s="3" t="s">
        <v>96</v>
      </c>
      <c r="B79" s="15" t="s">
        <v>34</v>
      </c>
      <c r="C79" s="16" t="s">
        <v>46</v>
      </c>
      <c r="D79" s="15"/>
      <c r="E79" s="15">
        <v>3</v>
      </c>
      <c r="F79" s="15">
        <v>4</v>
      </c>
      <c r="G79" s="15"/>
      <c r="H79" s="15"/>
      <c r="I79" s="15"/>
      <c r="J79" s="15"/>
      <c r="K79" s="15">
        <v>1</v>
      </c>
      <c r="L79" s="15"/>
      <c r="M79" s="15">
        <v>1</v>
      </c>
      <c r="N79" s="39"/>
      <c r="O79" s="15"/>
      <c r="P79" s="15"/>
      <c r="Q79" s="15"/>
      <c r="R79" s="15"/>
      <c r="S79" s="11">
        <f t="shared" si="20"/>
        <v>0.26666666666666666</v>
      </c>
      <c r="U79" s="13">
        <f t="shared" si="21"/>
        <v>9</v>
      </c>
      <c r="V79" s="19">
        <f t="shared" si="22"/>
        <v>9.375E-2</v>
      </c>
    </row>
    <row r="80" spans="1:154" s="17" customFormat="1" x14ac:dyDescent="0.3">
      <c r="A80" s="3" t="s">
        <v>111</v>
      </c>
      <c r="B80" s="15"/>
      <c r="C80" s="16" t="s">
        <v>46</v>
      </c>
      <c r="D80" s="15"/>
      <c r="E80" s="15"/>
      <c r="F80" s="15"/>
      <c r="G80" s="15"/>
      <c r="H80" s="15"/>
      <c r="I80" s="15"/>
      <c r="J80" s="15">
        <v>4</v>
      </c>
      <c r="K80" s="15"/>
      <c r="L80" s="15"/>
      <c r="M80" s="15"/>
      <c r="N80" s="39"/>
      <c r="O80" s="15"/>
      <c r="P80" s="15"/>
      <c r="Q80" s="15"/>
      <c r="R80" s="15"/>
      <c r="S80" s="11">
        <f t="shared" si="20"/>
        <v>6.6666666666666666E-2</v>
      </c>
      <c r="U80" s="13">
        <f t="shared" si="21"/>
        <v>4</v>
      </c>
      <c r="V80" s="19">
        <f t="shared" si="22"/>
        <v>4.1666666666666664E-2</v>
      </c>
    </row>
    <row r="81" spans="1:154" s="17" customFormat="1" x14ac:dyDescent="0.3">
      <c r="A81" s="3" t="s">
        <v>133</v>
      </c>
      <c r="B81" s="15"/>
      <c r="C81" s="16"/>
      <c r="D81" s="15"/>
      <c r="E81" s="15"/>
      <c r="F81" s="15"/>
      <c r="G81" s="15"/>
      <c r="H81" s="15"/>
      <c r="I81" s="15"/>
      <c r="J81" s="15"/>
      <c r="K81" s="15"/>
      <c r="L81" s="15"/>
      <c r="M81" s="15">
        <v>1</v>
      </c>
      <c r="N81" s="39"/>
      <c r="O81" s="15"/>
      <c r="P81" s="15"/>
      <c r="Q81" s="15"/>
      <c r="R81" s="15"/>
      <c r="S81" s="11">
        <f t="shared" si="20"/>
        <v>6.6666666666666666E-2</v>
      </c>
      <c r="U81" s="13">
        <f t="shared" si="21"/>
        <v>1</v>
      </c>
      <c r="V81" s="19">
        <f t="shared" si="22"/>
        <v>1.0416666666666666E-2</v>
      </c>
    </row>
    <row r="82" spans="1:154" s="17" customFormat="1" x14ac:dyDescent="0.3">
      <c r="A82" s="3" t="s">
        <v>135</v>
      </c>
      <c r="B82" s="15"/>
      <c r="C82" s="16"/>
      <c r="D82" s="15"/>
      <c r="E82" s="15"/>
      <c r="F82" s="15"/>
      <c r="G82" s="15"/>
      <c r="H82" s="15"/>
      <c r="I82" s="15"/>
      <c r="J82" s="15"/>
      <c r="K82" s="15"/>
      <c r="L82" s="15"/>
      <c r="M82" s="15">
        <v>1</v>
      </c>
      <c r="N82" s="39"/>
      <c r="O82" s="15"/>
      <c r="P82" s="15"/>
      <c r="Q82" s="15"/>
      <c r="R82" s="15"/>
      <c r="S82" s="11">
        <f t="shared" si="20"/>
        <v>6.6666666666666666E-2</v>
      </c>
      <c r="U82" s="13">
        <f t="shared" si="21"/>
        <v>1</v>
      </c>
      <c r="V82" s="19">
        <f t="shared" si="22"/>
        <v>1.0416666666666666E-2</v>
      </c>
    </row>
    <row r="83" spans="1:154" s="17" customFormat="1" x14ac:dyDescent="0.3">
      <c r="A83" s="3" t="s">
        <v>105</v>
      </c>
      <c r="B83" s="15"/>
      <c r="C83" s="16" t="s">
        <v>46</v>
      </c>
      <c r="D83" s="15"/>
      <c r="E83" s="15"/>
      <c r="F83" s="15"/>
      <c r="G83" s="15">
        <v>1</v>
      </c>
      <c r="H83" s="15"/>
      <c r="I83" s="15"/>
      <c r="J83" s="15"/>
      <c r="K83" s="15"/>
      <c r="L83" s="15"/>
      <c r="M83" s="15"/>
      <c r="N83" s="39"/>
      <c r="O83" s="15"/>
      <c r="P83" s="15"/>
      <c r="Q83" s="15"/>
      <c r="R83" s="15"/>
      <c r="S83" s="11">
        <f t="shared" si="20"/>
        <v>6.6666666666666666E-2</v>
      </c>
      <c r="U83" s="13">
        <f t="shared" si="21"/>
        <v>1</v>
      </c>
      <c r="V83" s="19">
        <f t="shared" si="22"/>
        <v>1.0416666666666666E-2</v>
      </c>
    </row>
    <row r="84" spans="1:154" s="17" customFormat="1" x14ac:dyDescent="0.3">
      <c r="A84" s="3" t="s">
        <v>39</v>
      </c>
      <c r="B84" s="15" t="s">
        <v>40</v>
      </c>
      <c r="C84" s="16" t="s">
        <v>46</v>
      </c>
      <c r="D84" s="15"/>
      <c r="E84" s="15"/>
      <c r="F84" s="15">
        <v>3</v>
      </c>
      <c r="G84" s="15"/>
      <c r="H84" s="15">
        <v>1</v>
      </c>
      <c r="I84" s="15"/>
      <c r="J84" s="15"/>
      <c r="K84" s="15">
        <v>1</v>
      </c>
      <c r="L84" s="15"/>
      <c r="M84" s="15">
        <v>3</v>
      </c>
      <c r="N84" s="39"/>
      <c r="O84" s="15"/>
      <c r="P84" s="15"/>
      <c r="Q84" s="15"/>
      <c r="R84" s="15"/>
      <c r="S84" s="11">
        <f t="shared" si="20"/>
        <v>0.26666666666666666</v>
      </c>
      <c r="U84" s="13">
        <f t="shared" si="21"/>
        <v>8</v>
      </c>
      <c r="V84" s="19">
        <f t="shared" si="22"/>
        <v>8.3333333333333329E-2</v>
      </c>
    </row>
    <row r="85" spans="1:154" s="17" customFormat="1" x14ac:dyDescent="0.3">
      <c r="A85" s="3" t="s">
        <v>38</v>
      </c>
      <c r="B85" s="15"/>
      <c r="C85" s="16"/>
      <c r="D85" s="15"/>
      <c r="E85" s="15"/>
      <c r="F85" s="15">
        <v>1</v>
      </c>
      <c r="G85" s="15"/>
      <c r="H85" s="15"/>
      <c r="I85" s="15"/>
      <c r="J85" s="15"/>
      <c r="K85" s="15"/>
      <c r="L85" s="15"/>
      <c r="M85" s="15"/>
      <c r="N85" s="39"/>
      <c r="O85" s="15"/>
      <c r="P85" s="15"/>
      <c r="Q85" s="15"/>
      <c r="R85" s="15"/>
      <c r="S85" s="11">
        <f t="shared" si="20"/>
        <v>6.6666666666666666E-2</v>
      </c>
      <c r="U85" s="13">
        <f t="shared" si="21"/>
        <v>1</v>
      </c>
      <c r="V85" s="19">
        <f t="shared" si="22"/>
        <v>1.0416666666666666E-2</v>
      </c>
    </row>
    <row r="86" spans="1:154" s="17" customFormat="1" x14ac:dyDescent="0.3">
      <c r="A86" s="3" t="s">
        <v>145</v>
      </c>
      <c r="B86" s="15"/>
      <c r="C86" s="16" t="s">
        <v>46</v>
      </c>
      <c r="D86" s="15"/>
      <c r="E86" s="15"/>
      <c r="F86" s="15"/>
      <c r="G86" s="15"/>
      <c r="H86" s="15"/>
      <c r="I86" s="15"/>
      <c r="J86" s="15"/>
      <c r="K86" s="15"/>
      <c r="L86" s="15"/>
      <c r="M86" s="15">
        <v>1</v>
      </c>
      <c r="N86" s="39"/>
      <c r="O86" s="15"/>
      <c r="P86" s="15"/>
      <c r="Q86" s="15"/>
      <c r="R86" s="15"/>
      <c r="S86" s="11">
        <f t="shared" si="20"/>
        <v>6.6666666666666666E-2</v>
      </c>
      <c r="U86" s="13">
        <f t="shared" si="21"/>
        <v>1</v>
      </c>
      <c r="V86" s="19">
        <f t="shared" si="22"/>
        <v>1.0416666666666666E-2</v>
      </c>
    </row>
    <row r="87" spans="1:154" s="17" customFormat="1" x14ac:dyDescent="0.3">
      <c r="A87" s="3" t="s">
        <v>57</v>
      </c>
      <c r="B87" s="15" t="s">
        <v>57</v>
      </c>
      <c r="C87" s="16" t="s">
        <v>46</v>
      </c>
      <c r="D87" s="15"/>
      <c r="E87" s="15"/>
      <c r="F87" s="15">
        <v>1</v>
      </c>
      <c r="G87" s="15"/>
      <c r="H87" s="15"/>
      <c r="I87" s="15"/>
      <c r="J87" s="15"/>
      <c r="K87" s="15"/>
      <c r="L87" s="15"/>
      <c r="M87" s="15"/>
      <c r="N87" s="39"/>
      <c r="O87" s="15"/>
      <c r="P87" s="15"/>
      <c r="Q87" s="15"/>
      <c r="R87" s="15"/>
      <c r="S87" s="11">
        <f t="shared" si="20"/>
        <v>6.6666666666666666E-2</v>
      </c>
      <c r="U87" s="13">
        <f t="shared" si="21"/>
        <v>1</v>
      </c>
      <c r="V87" s="19">
        <f t="shared" si="22"/>
        <v>1.0416666666666666E-2</v>
      </c>
    </row>
    <row r="88" spans="1:154" s="17" customFormat="1" x14ac:dyDescent="0.3">
      <c r="A88" s="3" t="s">
        <v>52</v>
      </c>
      <c r="B88" s="15"/>
      <c r="C88" s="16"/>
      <c r="D88" s="15"/>
      <c r="E88" s="15"/>
      <c r="F88" s="15">
        <v>1</v>
      </c>
      <c r="G88" s="15"/>
      <c r="H88" s="15"/>
      <c r="I88" s="15"/>
      <c r="J88" s="15"/>
      <c r="K88" s="15"/>
      <c r="L88" s="15"/>
      <c r="M88" s="15"/>
      <c r="N88" s="39"/>
      <c r="O88" s="15"/>
      <c r="P88" s="15"/>
      <c r="Q88" s="15"/>
      <c r="R88" s="15"/>
      <c r="S88" s="11">
        <f t="shared" si="20"/>
        <v>6.6666666666666666E-2</v>
      </c>
      <c r="U88" s="13">
        <f t="shared" si="21"/>
        <v>1</v>
      </c>
      <c r="V88" s="19">
        <f t="shared" si="22"/>
        <v>1.0416666666666666E-2</v>
      </c>
    </row>
    <row r="89" spans="1:154" s="17" customFormat="1" x14ac:dyDescent="0.3">
      <c r="A89" s="3" t="s">
        <v>45</v>
      </c>
      <c r="B89" s="15" t="s">
        <v>56</v>
      </c>
      <c r="C89" s="16" t="s">
        <v>46</v>
      </c>
      <c r="D89" s="15"/>
      <c r="E89" s="15">
        <v>1</v>
      </c>
      <c r="F89" s="15">
        <v>1</v>
      </c>
      <c r="G89" s="15"/>
      <c r="H89" s="15"/>
      <c r="I89" s="15"/>
      <c r="J89" s="15"/>
      <c r="K89" s="15"/>
      <c r="L89" s="15"/>
      <c r="M89" s="15"/>
      <c r="N89" s="39"/>
      <c r="O89" s="15"/>
      <c r="P89" s="15"/>
      <c r="Q89" s="15"/>
      <c r="R89" s="15"/>
      <c r="S89" s="11">
        <f t="shared" si="20"/>
        <v>0.13333333333333333</v>
      </c>
      <c r="U89" s="13">
        <f t="shared" si="21"/>
        <v>2</v>
      </c>
      <c r="V89" s="19">
        <f t="shared" si="22"/>
        <v>2.0833333333333332E-2</v>
      </c>
    </row>
    <row r="90" spans="1:154" s="17" customFormat="1" x14ac:dyDescent="0.3">
      <c r="A90" s="3"/>
      <c r="B90" s="15"/>
      <c r="C90" s="1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39"/>
      <c r="O90" s="15"/>
      <c r="P90" s="15"/>
      <c r="Q90" s="15"/>
      <c r="R90" s="15"/>
      <c r="S90" s="11"/>
      <c r="U90" s="13"/>
      <c r="V90" s="19"/>
    </row>
    <row r="91" spans="1:154" s="17" customFormat="1" x14ac:dyDescent="0.3">
      <c r="A91" s="3" t="s">
        <v>47</v>
      </c>
      <c r="B91" s="15" t="s">
        <v>56</v>
      </c>
      <c r="C91" s="16" t="s">
        <v>46</v>
      </c>
      <c r="D91" s="15"/>
      <c r="E91" s="15"/>
      <c r="F91" s="15">
        <v>8</v>
      </c>
      <c r="G91" s="15"/>
      <c r="H91" s="15">
        <v>2</v>
      </c>
      <c r="I91" s="15"/>
      <c r="J91" s="15"/>
      <c r="K91" s="15"/>
      <c r="L91" s="15"/>
      <c r="M91" s="15">
        <v>3</v>
      </c>
      <c r="N91" s="39"/>
      <c r="O91" s="15"/>
      <c r="P91" s="15"/>
      <c r="Q91" s="15">
        <v>3</v>
      </c>
      <c r="R91" s="15">
        <v>2</v>
      </c>
      <c r="S91" s="11">
        <f t="shared" si="20"/>
        <v>0.33333333333333331</v>
      </c>
      <c r="U91" s="13">
        <f t="shared" si="21"/>
        <v>18</v>
      </c>
      <c r="V91" s="19"/>
    </row>
    <row r="92" spans="1:154" s="17" customFormat="1" x14ac:dyDescent="0.3">
      <c r="A92" s="3"/>
      <c r="B92" s="15"/>
      <c r="C92" s="1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9"/>
      <c r="O92" s="15"/>
      <c r="P92" s="15"/>
      <c r="Q92" s="15"/>
      <c r="R92" s="15"/>
      <c r="S92" s="11"/>
      <c r="V92" s="19"/>
    </row>
    <row r="93" spans="1:154" s="17" customFormat="1" x14ac:dyDescent="0.3">
      <c r="A93" s="7" t="s">
        <v>61</v>
      </c>
      <c r="B93" s="15"/>
      <c r="C93" s="16"/>
      <c r="D93" s="15"/>
      <c r="E93" s="15">
        <f>SUM(E68:E91)</f>
        <v>5</v>
      </c>
      <c r="F93" s="15">
        <f>SUM(F68:F91)</f>
        <v>29</v>
      </c>
      <c r="G93" s="15">
        <f>SUM(G68:G91)</f>
        <v>1</v>
      </c>
      <c r="H93" s="15">
        <f>SUM(H68:H91)</f>
        <v>3</v>
      </c>
      <c r="I93" s="15"/>
      <c r="J93" s="15">
        <f>SUM(J68:J91)</f>
        <v>4</v>
      </c>
      <c r="K93" s="15">
        <f>SUM(K68:K91)</f>
        <v>2</v>
      </c>
      <c r="L93" s="15"/>
      <c r="M93" s="15">
        <f>SUM(M68:M91)</f>
        <v>35</v>
      </c>
      <c r="N93" s="39"/>
      <c r="O93" s="15"/>
      <c r="P93" s="15"/>
      <c r="Q93" s="15">
        <f>SUM(Q68:Q91)</f>
        <v>3</v>
      </c>
      <c r="R93" s="15">
        <f>SUM(R68:R91)</f>
        <v>2</v>
      </c>
      <c r="S93" s="11">
        <f>COUNT(D93:R93)/15</f>
        <v>0.6</v>
      </c>
      <c r="T93" s="14"/>
      <c r="U93" s="17">
        <f>SUM(U68:U91)</f>
        <v>84</v>
      </c>
      <c r="V93" s="22"/>
      <c r="W93" s="14"/>
      <c r="X93" s="14"/>
      <c r="Y93" s="14"/>
      <c r="Z93" s="14"/>
    </row>
    <row r="94" spans="1:154" s="17" customFormat="1" x14ac:dyDescent="0.3">
      <c r="A94" s="7" t="s">
        <v>62</v>
      </c>
      <c r="B94" s="15"/>
      <c r="C94" s="16"/>
      <c r="D94" s="15"/>
      <c r="E94" s="15">
        <f>SUM(E68:E88)</f>
        <v>4</v>
      </c>
      <c r="F94" s="15">
        <f>SUM(F68:F88)</f>
        <v>20</v>
      </c>
      <c r="G94" s="15">
        <f>SUM(G68:G88)</f>
        <v>1</v>
      </c>
      <c r="H94" s="15">
        <f>SUM(H68:H88)</f>
        <v>1</v>
      </c>
      <c r="I94" s="15"/>
      <c r="J94" s="15">
        <f>SUM(J68:J88)</f>
        <v>4</v>
      </c>
      <c r="K94" s="15">
        <f>SUM(K68:K88)</f>
        <v>2</v>
      </c>
      <c r="L94" s="15"/>
      <c r="M94" s="15">
        <f>SUM(M68:M88)</f>
        <v>32</v>
      </c>
      <c r="N94" s="39"/>
      <c r="O94" s="15"/>
      <c r="P94" s="15"/>
      <c r="Q94" s="15">
        <f>SUM(Q68:Q88)</f>
        <v>0</v>
      </c>
      <c r="R94" s="15">
        <f>SUM(R68:R88)</f>
        <v>0</v>
      </c>
      <c r="T94" s="14"/>
      <c r="U94" s="17">
        <f>SUM(D94:R94)</f>
        <v>64</v>
      </c>
      <c r="V94" s="19">
        <f t="shared" ref="V94" si="23">(U94)/96</f>
        <v>0.66666666666666663</v>
      </c>
      <c r="W94" s="14"/>
      <c r="X94" s="14"/>
      <c r="Y94" s="14"/>
      <c r="Z94" s="14"/>
    </row>
    <row r="95" spans="1:154" s="28" customFormat="1" x14ac:dyDescent="0.3">
      <c r="A95" s="53" t="s">
        <v>35</v>
      </c>
      <c r="C95" s="29"/>
      <c r="N95" s="56"/>
      <c r="S95" s="65"/>
      <c r="T95" s="52"/>
      <c r="U95" s="52"/>
      <c r="V95" s="66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</row>
    <row r="96" spans="1:154" x14ac:dyDescent="0.3">
      <c r="A96" s="50" t="s">
        <v>18</v>
      </c>
      <c r="S96" s="11"/>
      <c r="T96" s="13"/>
      <c r="U96" s="13"/>
      <c r="V96" s="19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EX96" s="13"/>
    </row>
    <row r="97" spans="1:154" x14ac:dyDescent="0.3">
      <c r="A97" s="61" t="s">
        <v>88</v>
      </c>
      <c r="E97" s="9">
        <v>4</v>
      </c>
      <c r="S97" s="11">
        <f>COUNT(D97:R97)/15</f>
        <v>6.6666666666666666E-2</v>
      </c>
      <c r="T97" s="13"/>
      <c r="U97" s="13">
        <f>SUM(B97:R97)</f>
        <v>4</v>
      </c>
      <c r="V97" s="19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EX97" s="13"/>
    </row>
    <row r="98" spans="1:154" ht="13.8" customHeight="1" x14ac:dyDescent="0.3">
      <c r="A98" s="61" t="s">
        <v>112</v>
      </c>
      <c r="F98" s="9">
        <v>2</v>
      </c>
      <c r="S98" s="11">
        <f t="shared" ref="S98:S110" si="24">COUNT(D98:R98)/15</f>
        <v>6.6666666666666666E-2</v>
      </c>
      <c r="T98" s="13"/>
      <c r="U98" s="13">
        <f t="shared" ref="U98:U126" si="25">SUM(B98:R98)</f>
        <v>2</v>
      </c>
      <c r="V98" s="19"/>
      <c r="W98" s="37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EX98" s="13"/>
    </row>
    <row r="99" spans="1:154" s="5" customFormat="1" x14ac:dyDescent="0.3">
      <c r="A99" s="61" t="s">
        <v>103</v>
      </c>
      <c r="B99" s="9" t="s">
        <v>34</v>
      </c>
      <c r="C99" s="10" t="s">
        <v>161</v>
      </c>
      <c r="D99" s="9"/>
      <c r="E99" s="9"/>
      <c r="F99" s="9">
        <v>1</v>
      </c>
      <c r="G99" s="9"/>
      <c r="H99" s="9"/>
      <c r="I99" s="9"/>
      <c r="J99" s="9"/>
      <c r="K99" s="9"/>
      <c r="L99" s="9"/>
      <c r="M99" s="9"/>
      <c r="N99" s="38"/>
      <c r="O99" s="9"/>
      <c r="P99" s="9"/>
      <c r="Q99" s="9"/>
      <c r="R99" s="9"/>
      <c r="S99" s="45">
        <f t="shared" si="24"/>
        <v>6.6666666666666666E-2</v>
      </c>
      <c r="U99" s="5">
        <f t="shared" si="25"/>
        <v>1</v>
      </c>
      <c r="V99" s="22"/>
    </row>
    <row r="100" spans="1:154" s="5" customFormat="1" x14ac:dyDescent="0.3">
      <c r="A100" s="61" t="s">
        <v>153</v>
      </c>
      <c r="B100" s="9" t="s">
        <v>34</v>
      </c>
      <c r="C100" s="10" t="s">
        <v>139</v>
      </c>
      <c r="D100" s="9"/>
      <c r="E100" s="9"/>
      <c r="F100" s="9"/>
      <c r="G100" s="9"/>
      <c r="H100" s="9"/>
      <c r="I100" s="9"/>
      <c r="J100" s="9"/>
      <c r="K100" s="9"/>
      <c r="L100" s="9"/>
      <c r="M100" s="9">
        <v>1</v>
      </c>
      <c r="N100" s="38"/>
      <c r="O100" s="9"/>
      <c r="P100" s="9"/>
      <c r="Q100" s="9"/>
      <c r="R100" s="9"/>
      <c r="S100" s="45">
        <f t="shared" si="24"/>
        <v>6.6666666666666666E-2</v>
      </c>
      <c r="U100" s="5">
        <f t="shared" si="25"/>
        <v>1</v>
      </c>
      <c r="V100" s="22"/>
    </row>
    <row r="101" spans="1:154" s="5" customFormat="1" x14ac:dyDescent="0.3">
      <c r="A101" s="61" t="s">
        <v>153</v>
      </c>
      <c r="B101" s="9"/>
      <c r="C101" s="10" t="s">
        <v>104</v>
      </c>
      <c r="D101" s="9"/>
      <c r="E101" s="9"/>
      <c r="F101" s="9"/>
      <c r="G101" s="9"/>
      <c r="H101" s="9"/>
      <c r="I101" s="9"/>
      <c r="J101" s="9"/>
      <c r="K101" s="9"/>
      <c r="L101" s="9"/>
      <c r="M101" s="9">
        <v>2</v>
      </c>
      <c r="N101" s="38"/>
      <c r="O101" s="9"/>
      <c r="P101" s="9"/>
      <c r="Q101" s="9"/>
      <c r="R101" s="9"/>
      <c r="S101" s="45">
        <f t="shared" si="24"/>
        <v>6.6666666666666666E-2</v>
      </c>
      <c r="U101" s="5">
        <f>SUM(B101:R101)</f>
        <v>2</v>
      </c>
      <c r="V101" s="22"/>
    </row>
    <row r="102" spans="1:154" s="5" customFormat="1" x14ac:dyDescent="0.3">
      <c r="A102" s="61" t="s">
        <v>103</v>
      </c>
      <c r="B102" s="9" t="s">
        <v>34</v>
      </c>
      <c r="C102" s="10" t="s">
        <v>140</v>
      </c>
      <c r="D102" s="9"/>
      <c r="E102" s="9"/>
      <c r="F102" s="9"/>
      <c r="G102" s="9"/>
      <c r="H102" s="9"/>
      <c r="I102" s="9"/>
      <c r="J102" s="9"/>
      <c r="K102" s="9"/>
      <c r="L102" s="9"/>
      <c r="M102" s="9">
        <v>1</v>
      </c>
      <c r="N102" s="38"/>
      <c r="O102" s="9"/>
      <c r="P102" s="9"/>
      <c r="Q102" s="9"/>
      <c r="R102" s="9"/>
      <c r="S102" s="45">
        <f t="shared" si="24"/>
        <v>6.6666666666666666E-2</v>
      </c>
      <c r="U102" s="5">
        <f t="shared" si="25"/>
        <v>1</v>
      </c>
      <c r="V102" s="22"/>
    </row>
    <row r="103" spans="1:154" s="5" customFormat="1" x14ac:dyDescent="0.3">
      <c r="A103" s="61" t="s">
        <v>118</v>
      </c>
      <c r="B103" s="9" t="s">
        <v>34</v>
      </c>
      <c r="C103" s="10" t="s">
        <v>119</v>
      </c>
      <c r="D103" s="9"/>
      <c r="E103" s="9"/>
      <c r="F103" s="9">
        <v>2</v>
      </c>
      <c r="G103" s="9"/>
      <c r="H103" s="9"/>
      <c r="I103" s="9"/>
      <c r="J103" s="9"/>
      <c r="K103" s="9">
        <v>4</v>
      </c>
      <c r="L103" s="9"/>
      <c r="M103" s="9">
        <v>3</v>
      </c>
      <c r="N103" s="38"/>
      <c r="O103" s="9"/>
      <c r="P103" s="9"/>
      <c r="Q103" s="9"/>
      <c r="R103" s="9"/>
      <c r="S103" s="45">
        <f t="shared" si="24"/>
        <v>0.2</v>
      </c>
      <c r="U103" s="5">
        <f t="shared" si="25"/>
        <v>9</v>
      </c>
      <c r="V103" s="22"/>
    </row>
    <row r="104" spans="1:154" s="5" customFormat="1" x14ac:dyDescent="0.3">
      <c r="A104" s="61" t="s">
        <v>118</v>
      </c>
      <c r="B104" s="9" t="s">
        <v>34</v>
      </c>
      <c r="C104" s="10" t="s">
        <v>161</v>
      </c>
      <c r="D104" s="9"/>
      <c r="E104" s="9"/>
      <c r="F104" s="9">
        <v>1</v>
      </c>
      <c r="G104" s="9"/>
      <c r="H104" s="9"/>
      <c r="I104" s="9"/>
      <c r="J104" s="9"/>
      <c r="K104" s="9"/>
      <c r="L104" s="9"/>
      <c r="M104" s="9"/>
      <c r="N104" s="38"/>
      <c r="O104" s="9"/>
      <c r="P104" s="9"/>
      <c r="Q104" s="9"/>
      <c r="R104" s="9"/>
      <c r="S104" s="45">
        <f t="shared" si="24"/>
        <v>6.6666666666666666E-2</v>
      </c>
      <c r="U104" s="5">
        <f t="shared" si="25"/>
        <v>1</v>
      </c>
      <c r="V104" s="22"/>
    </row>
    <row r="105" spans="1:154" s="5" customFormat="1" x14ac:dyDescent="0.3">
      <c r="A105" s="61" t="s">
        <v>113</v>
      </c>
      <c r="B105" s="9" t="s">
        <v>114</v>
      </c>
      <c r="C105" s="10" t="s">
        <v>55</v>
      </c>
      <c r="D105" s="9"/>
      <c r="E105" s="9"/>
      <c r="F105" s="9"/>
      <c r="G105" s="9"/>
      <c r="H105" s="9"/>
      <c r="I105" s="9"/>
      <c r="J105" s="9">
        <v>0.05</v>
      </c>
      <c r="K105" s="9"/>
      <c r="L105" s="9"/>
      <c r="M105" s="9"/>
      <c r="N105" s="38">
        <v>0.05</v>
      </c>
      <c r="O105" s="9"/>
      <c r="P105" s="9"/>
      <c r="Q105" s="9"/>
      <c r="R105" s="9"/>
      <c r="S105" s="45">
        <f t="shared" si="24"/>
        <v>0.13333333333333333</v>
      </c>
      <c r="U105" s="5">
        <f t="shared" si="25"/>
        <v>0.1</v>
      </c>
      <c r="V105" s="22"/>
    </row>
    <row r="106" spans="1:154" s="5" customFormat="1" x14ac:dyDescent="0.3">
      <c r="A106" s="61" t="s">
        <v>101</v>
      </c>
      <c r="B106" s="9" t="s">
        <v>34</v>
      </c>
      <c r="C106" s="10" t="s">
        <v>102</v>
      </c>
      <c r="D106" s="9"/>
      <c r="E106" s="9"/>
      <c r="F106" s="9">
        <v>1</v>
      </c>
      <c r="G106" s="9"/>
      <c r="H106" s="9"/>
      <c r="I106" s="9"/>
      <c r="J106" s="9"/>
      <c r="K106" s="9"/>
      <c r="L106" s="9"/>
      <c r="M106" s="9"/>
      <c r="N106" s="38"/>
      <c r="O106" s="9"/>
      <c r="P106" s="9"/>
      <c r="Q106" s="9"/>
      <c r="R106" s="9"/>
      <c r="S106" s="45">
        <f t="shared" si="24"/>
        <v>6.6666666666666666E-2</v>
      </c>
      <c r="U106" s="5">
        <f t="shared" si="25"/>
        <v>1</v>
      </c>
      <c r="V106" s="22"/>
    </row>
    <row r="107" spans="1:154" s="5" customFormat="1" x14ac:dyDescent="0.3">
      <c r="A107" s="61" t="s">
        <v>101</v>
      </c>
      <c r="B107" s="9" t="s">
        <v>34</v>
      </c>
      <c r="C107" s="10" t="s">
        <v>162</v>
      </c>
      <c r="D107" s="9"/>
      <c r="E107" s="9"/>
      <c r="F107" s="9">
        <v>5</v>
      </c>
      <c r="G107" s="9"/>
      <c r="H107" s="9"/>
      <c r="I107" s="9"/>
      <c r="J107" s="9"/>
      <c r="K107" s="9"/>
      <c r="L107" s="9"/>
      <c r="M107" s="9"/>
      <c r="N107" s="38"/>
      <c r="O107" s="9"/>
      <c r="P107" s="9"/>
      <c r="Q107" s="9"/>
      <c r="R107" s="9"/>
      <c r="S107" s="45">
        <f t="shared" si="24"/>
        <v>6.6666666666666666E-2</v>
      </c>
      <c r="U107" s="5">
        <f t="shared" si="25"/>
        <v>5</v>
      </c>
      <c r="V107" s="22"/>
    </row>
    <row r="108" spans="1:154" s="5" customFormat="1" x14ac:dyDescent="0.3">
      <c r="A108" s="61" t="s">
        <v>117</v>
      </c>
      <c r="B108" s="9" t="s">
        <v>34</v>
      </c>
      <c r="C108" s="10" t="s">
        <v>162</v>
      </c>
      <c r="D108" s="9"/>
      <c r="E108" s="9"/>
      <c r="F108" s="9"/>
      <c r="G108" s="9"/>
      <c r="H108" s="9"/>
      <c r="I108" s="9"/>
      <c r="J108" s="9"/>
      <c r="K108" s="9">
        <v>2</v>
      </c>
      <c r="L108" s="9"/>
      <c r="M108" s="9"/>
      <c r="N108" s="38"/>
      <c r="O108" s="9"/>
      <c r="P108" s="9"/>
      <c r="Q108" s="9"/>
      <c r="R108" s="9"/>
      <c r="S108" s="45">
        <f t="shared" si="24"/>
        <v>6.6666666666666666E-2</v>
      </c>
      <c r="U108" s="5">
        <f t="shared" si="25"/>
        <v>2</v>
      </c>
      <c r="V108" s="22"/>
    </row>
    <row r="109" spans="1:154" s="5" customFormat="1" x14ac:dyDescent="0.3">
      <c r="A109" s="61" t="s">
        <v>99</v>
      </c>
      <c r="B109" s="9"/>
      <c r="C109" s="10" t="s">
        <v>100</v>
      </c>
      <c r="D109" s="9"/>
      <c r="E109" s="9"/>
      <c r="F109" s="9">
        <v>3</v>
      </c>
      <c r="G109" s="9"/>
      <c r="H109" s="9"/>
      <c r="I109" s="9"/>
      <c r="J109" s="9"/>
      <c r="K109" s="9"/>
      <c r="L109" s="9"/>
      <c r="M109" s="9"/>
      <c r="N109" s="38"/>
      <c r="O109" s="9"/>
      <c r="P109" s="9"/>
      <c r="Q109" s="9"/>
      <c r="R109" s="9"/>
      <c r="S109" s="45">
        <f t="shared" si="24"/>
        <v>6.6666666666666666E-2</v>
      </c>
      <c r="U109" s="5">
        <f t="shared" si="25"/>
        <v>3</v>
      </c>
      <c r="V109" s="22"/>
    </row>
    <row r="110" spans="1:154" s="17" customFormat="1" x14ac:dyDescent="0.3">
      <c r="A110" s="67" t="s">
        <v>158</v>
      </c>
      <c r="B110" s="40"/>
      <c r="C110" s="41"/>
      <c r="D110" s="15"/>
      <c r="E110" s="15"/>
      <c r="F110" s="15">
        <f>SUM(F99:F104,F106:F108)</f>
        <v>10</v>
      </c>
      <c r="G110" s="15"/>
      <c r="H110" s="15"/>
      <c r="I110" s="15"/>
      <c r="J110" s="15"/>
      <c r="K110" s="15">
        <f>SUM(K99:K104,K106:K108)</f>
        <v>6</v>
      </c>
      <c r="L110" s="15"/>
      <c r="M110" s="15">
        <f>SUM(M99:M104,M106:M108)</f>
        <v>7</v>
      </c>
      <c r="N110" s="39"/>
      <c r="O110" s="15"/>
      <c r="P110" s="15"/>
      <c r="Q110" s="15"/>
      <c r="R110" s="15"/>
      <c r="S110" s="11">
        <f t="shared" si="24"/>
        <v>0.2</v>
      </c>
      <c r="U110" s="13">
        <f t="shared" si="25"/>
        <v>23</v>
      </c>
      <c r="V110" s="19"/>
    </row>
    <row r="111" spans="1:154" s="17" customFormat="1" x14ac:dyDescent="0.3">
      <c r="A111" s="67"/>
      <c r="B111" s="40"/>
      <c r="C111" s="4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39"/>
      <c r="O111" s="15"/>
      <c r="P111" s="15"/>
      <c r="Q111" s="15"/>
      <c r="R111" s="15"/>
      <c r="S111" s="11"/>
      <c r="U111" s="13"/>
      <c r="V111" s="19"/>
    </row>
    <row r="112" spans="1:154" s="17" customFormat="1" x14ac:dyDescent="0.3">
      <c r="A112" s="68" t="s">
        <v>19</v>
      </c>
      <c r="B112" s="15"/>
      <c r="C112" s="16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9"/>
      <c r="O112" s="15"/>
      <c r="P112" s="15"/>
      <c r="Q112" s="15"/>
      <c r="R112" s="15"/>
      <c r="S112" s="11"/>
      <c r="U112" s="13"/>
      <c r="V112" s="19"/>
    </row>
    <row r="113" spans="1:22" s="17" customFormat="1" x14ac:dyDescent="0.3">
      <c r="A113" s="4" t="s">
        <v>144</v>
      </c>
      <c r="B113" s="15" t="s">
        <v>36</v>
      </c>
      <c r="C113" s="16" t="s">
        <v>46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39"/>
      <c r="O113" s="15"/>
      <c r="P113" s="15"/>
      <c r="Q113" s="15"/>
      <c r="R113" s="15">
        <v>10</v>
      </c>
      <c r="S113" s="11"/>
      <c r="U113" s="13">
        <f t="shared" si="25"/>
        <v>10</v>
      </c>
      <c r="V113" s="19"/>
    </row>
    <row r="114" spans="1:22" s="17" customFormat="1" x14ac:dyDescent="0.3">
      <c r="A114" s="4" t="s">
        <v>54</v>
      </c>
      <c r="B114" s="15" t="s">
        <v>42</v>
      </c>
      <c r="C114" s="16" t="s">
        <v>46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39"/>
      <c r="O114" s="15"/>
      <c r="P114" s="15"/>
      <c r="Q114" s="15"/>
      <c r="R114" s="15">
        <v>1</v>
      </c>
      <c r="S114" s="11"/>
      <c r="U114" s="13">
        <f t="shared" si="25"/>
        <v>1</v>
      </c>
      <c r="V114" s="19"/>
    </row>
    <row r="115" spans="1:22" s="17" customFormat="1" x14ac:dyDescent="0.3">
      <c r="A115" s="4"/>
      <c r="B115" s="15"/>
      <c r="C115" s="16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39"/>
      <c r="O115" s="15"/>
      <c r="P115" s="15"/>
      <c r="Q115" s="15"/>
      <c r="R115" s="15"/>
      <c r="S115" s="11"/>
      <c r="U115" s="13"/>
      <c r="V115" s="19"/>
    </row>
    <row r="116" spans="1:22" s="17" customFormat="1" x14ac:dyDescent="0.3">
      <c r="A116" s="68" t="s">
        <v>20</v>
      </c>
      <c r="B116" s="15"/>
      <c r="C116" s="16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39"/>
      <c r="O116" s="15"/>
      <c r="P116" s="15"/>
      <c r="Q116" s="15"/>
      <c r="R116" s="15"/>
      <c r="S116" s="11"/>
      <c r="U116" s="13"/>
      <c r="V116" s="19"/>
    </row>
    <row r="117" spans="1:22" s="17" customFormat="1" x14ac:dyDescent="0.3">
      <c r="A117" s="3" t="s">
        <v>124</v>
      </c>
      <c r="B117" s="15" t="s">
        <v>110</v>
      </c>
      <c r="C117" s="16" t="s">
        <v>46</v>
      </c>
      <c r="D117" s="15"/>
      <c r="E117" s="15"/>
      <c r="F117" s="15"/>
      <c r="G117" s="15"/>
      <c r="H117" s="15">
        <v>1</v>
      </c>
      <c r="I117" s="15"/>
      <c r="J117" s="15"/>
      <c r="K117" s="15"/>
      <c r="L117" s="15">
        <f>2+41</f>
        <v>43</v>
      </c>
      <c r="M117" s="15"/>
      <c r="N117" s="39"/>
      <c r="O117" s="15"/>
      <c r="P117" s="15"/>
      <c r="Q117" s="15"/>
      <c r="R117" s="15"/>
      <c r="S117" s="11"/>
      <c r="U117" s="17">
        <f t="shared" si="25"/>
        <v>44</v>
      </c>
      <c r="V117" s="19"/>
    </row>
    <row r="118" spans="1:22" s="17" customFormat="1" x14ac:dyDescent="0.3">
      <c r="A118" s="3" t="s">
        <v>129</v>
      </c>
      <c r="B118" s="15"/>
      <c r="C118" s="16"/>
      <c r="D118" s="15"/>
      <c r="E118" s="15"/>
      <c r="F118" s="15"/>
      <c r="G118" s="15"/>
      <c r="H118" s="15"/>
      <c r="I118" s="15"/>
      <c r="J118" s="15"/>
      <c r="K118" s="15"/>
      <c r="L118" s="15">
        <v>99</v>
      </c>
      <c r="M118" s="15"/>
      <c r="N118" s="39"/>
      <c r="O118" s="15"/>
      <c r="P118" s="15"/>
      <c r="Q118" s="15"/>
      <c r="R118" s="15"/>
      <c r="S118" s="11"/>
      <c r="U118" s="17">
        <f t="shared" si="25"/>
        <v>99</v>
      </c>
      <c r="V118" s="19"/>
    </row>
    <row r="119" spans="1:22" s="17" customFormat="1" x14ac:dyDescent="0.3">
      <c r="A119" s="3" t="s">
        <v>128</v>
      </c>
      <c r="B119" s="15"/>
      <c r="C119" s="16"/>
      <c r="D119" s="15"/>
      <c r="E119" s="15"/>
      <c r="F119" s="15"/>
      <c r="G119" s="15"/>
      <c r="H119" s="15"/>
      <c r="I119" s="15"/>
      <c r="J119" s="15"/>
      <c r="K119" s="15"/>
      <c r="L119" s="15">
        <v>1</v>
      </c>
      <c r="M119" s="15"/>
      <c r="N119" s="39"/>
      <c r="O119" s="15"/>
      <c r="P119" s="15"/>
      <c r="Q119" s="15"/>
      <c r="R119" s="15"/>
      <c r="S119" s="11"/>
      <c r="U119" s="17">
        <f t="shared" si="25"/>
        <v>1</v>
      </c>
      <c r="V119" s="19"/>
    </row>
    <row r="120" spans="1:22" s="17" customFormat="1" x14ac:dyDescent="0.3">
      <c r="A120" s="3" t="s">
        <v>126</v>
      </c>
      <c r="B120" s="15"/>
      <c r="C120" s="16"/>
      <c r="D120" s="15"/>
      <c r="E120" s="15"/>
      <c r="F120" s="15"/>
      <c r="G120" s="15"/>
      <c r="H120" s="15"/>
      <c r="I120" s="15"/>
      <c r="J120" s="15"/>
      <c r="K120" s="15"/>
      <c r="L120" s="15">
        <v>17</v>
      </c>
      <c r="M120" s="15"/>
      <c r="N120" s="39"/>
      <c r="O120" s="15"/>
      <c r="P120" s="15"/>
      <c r="Q120" s="15"/>
      <c r="R120" s="15"/>
      <c r="S120" s="11"/>
      <c r="U120" s="17">
        <f t="shared" si="25"/>
        <v>17</v>
      </c>
      <c r="V120" s="19"/>
    </row>
    <row r="121" spans="1:22" s="17" customFormat="1" x14ac:dyDescent="0.3">
      <c r="A121" s="3" t="s">
        <v>125</v>
      </c>
      <c r="B121" s="15"/>
      <c r="C121" s="16"/>
      <c r="D121" s="15"/>
      <c r="E121" s="15"/>
      <c r="F121" s="15"/>
      <c r="G121" s="15"/>
      <c r="H121" s="15"/>
      <c r="I121" s="15"/>
      <c r="J121" s="15"/>
      <c r="K121" s="15"/>
      <c r="L121" s="15">
        <v>12</v>
      </c>
      <c r="M121" s="15"/>
      <c r="N121" s="39"/>
      <c r="O121" s="15"/>
      <c r="P121" s="15"/>
      <c r="Q121" s="15"/>
      <c r="R121" s="15"/>
      <c r="S121" s="11"/>
      <c r="U121" s="17">
        <f t="shared" si="25"/>
        <v>12</v>
      </c>
      <c r="V121" s="19"/>
    </row>
    <row r="122" spans="1:22" s="17" customFormat="1" x14ac:dyDescent="0.3">
      <c r="A122" s="3" t="s">
        <v>89</v>
      </c>
      <c r="B122" s="15"/>
      <c r="C122" s="16" t="s">
        <v>46</v>
      </c>
      <c r="D122" s="15"/>
      <c r="E122" s="15">
        <v>12</v>
      </c>
      <c r="F122" s="15"/>
      <c r="G122" s="15"/>
      <c r="H122" s="15">
        <v>21</v>
      </c>
      <c r="I122" s="15"/>
      <c r="J122" s="15"/>
      <c r="K122" s="15"/>
      <c r="L122" s="15"/>
      <c r="M122" s="15"/>
      <c r="N122" s="39"/>
      <c r="O122" s="15"/>
      <c r="P122" s="15"/>
      <c r="Q122" s="15"/>
      <c r="R122" s="15"/>
      <c r="S122" s="11"/>
      <c r="U122" s="17">
        <f t="shared" si="25"/>
        <v>33</v>
      </c>
      <c r="V122" s="19"/>
    </row>
    <row r="123" spans="1:22" s="17" customFormat="1" x14ac:dyDescent="0.3">
      <c r="A123" s="4" t="s">
        <v>111</v>
      </c>
      <c r="B123" s="15"/>
      <c r="C123" s="16" t="s">
        <v>46</v>
      </c>
      <c r="D123" s="15"/>
      <c r="E123" s="15"/>
      <c r="F123" s="15"/>
      <c r="G123" s="15"/>
      <c r="H123" s="15"/>
      <c r="I123" s="15">
        <v>6</v>
      </c>
      <c r="J123" s="15"/>
      <c r="K123" s="15">
        <v>31</v>
      </c>
      <c r="L123" s="15">
        <v>150</v>
      </c>
      <c r="M123" s="15"/>
      <c r="N123" s="39"/>
      <c r="O123" s="15"/>
      <c r="P123" s="15"/>
      <c r="Q123" s="15"/>
      <c r="R123" s="15"/>
      <c r="S123" s="11"/>
      <c r="U123" s="17">
        <f t="shared" si="25"/>
        <v>187</v>
      </c>
      <c r="V123" s="19"/>
    </row>
    <row r="124" spans="1:22" s="17" customFormat="1" x14ac:dyDescent="0.3">
      <c r="A124" s="4" t="s">
        <v>39</v>
      </c>
      <c r="B124" s="15"/>
      <c r="C124" s="16"/>
      <c r="D124" s="15"/>
      <c r="E124" s="15"/>
      <c r="F124" s="15"/>
      <c r="G124" s="15"/>
      <c r="H124" s="15"/>
      <c r="I124" s="15"/>
      <c r="J124" s="15"/>
      <c r="K124" s="15"/>
      <c r="L124" s="15">
        <v>1</v>
      </c>
      <c r="M124" s="15"/>
      <c r="N124" s="39"/>
      <c r="O124" s="15"/>
      <c r="P124" s="15"/>
      <c r="Q124" s="15"/>
      <c r="R124" s="15"/>
      <c r="S124" s="11"/>
      <c r="U124" s="17">
        <f t="shared" si="25"/>
        <v>1</v>
      </c>
      <c r="V124" s="19"/>
    </row>
    <row r="125" spans="1:22" s="17" customFormat="1" x14ac:dyDescent="0.3">
      <c r="A125" s="4" t="s">
        <v>38</v>
      </c>
      <c r="B125" s="15"/>
      <c r="C125" s="16"/>
      <c r="D125" s="15"/>
      <c r="E125" s="15"/>
      <c r="F125" s="15"/>
      <c r="G125" s="15"/>
      <c r="H125" s="15"/>
      <c r="I125" s="15"/>
      <c r="J125" s="15"/>
      <c r="K125" s="15"/>
      <c r="L125" s="15">
        <v>3</v>
      </c>
      <c r="M125" s="15"/>
      <c r="N125" s="39"/>
      <c r="O125" s="15"/>
      <c r="P125" s="15"/>
      <c r="Q125" s="15"/>
      <c r="R125" s="15"/>
      <c r="S125" s="11"/>
      <c r="U125" s="17">
        <f t="shared" si="25"/>
        <v>3</v>
      </c>
      <c r="V125" s="19"/>
    </row>
    <row r="126" spans="1:22" s="17" customFormat="1" x14ac:dyDescent="0.3">
      <c r="A126" s="3" t="s">
        <v>127</v>
      </c>
      <c r="B126" s="15"/>
      <c r="C126" s="16"/>
      <c r="D126" s="15"/>
      <c r="E126" s="15"/>
      <c r="F126" s="15"/>
      <c r="G126" s="15"/>
      <c r="H126" s="15"/>
      <c r="I126" s="15"/>
      <c r="J126" s="15"/>
      <c r="K126" s="15"/>
      <c r="L126" s="15">
        <v>4</v>
      </c>
      <c r="M126" s="15"/>
      <c r="N126" s="39"/>
      <c r="O126" s="15"/>
      <c r="P126" s="15"/>
      <c r="Q126" s="15"/>
      <c r="R126" s="15"/>
      <c r="S126" s="11"/>
      <c r="U126" s="17">
        <f t="shared" si="25"/>
        <v>4</v>
      </c>
      <c r="V126" s="19"/>
    </row>
    <row r="127" spans="1:22" s="17" customFormat="1" x14ac:dyDescent="0.3">
      <c r="A127" s="3"/>
      <c r="B127" s="15"/>
      <c r="C127" s="16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39"/>
      <c r="O127" s="15"/>
      <c r="P127" s="15"/>
      <c r="Q127" s="15"/>
      <c r="R127" s="15"/>
      <c r="S127" s="11"/>
      <c r="V127" s="19"/>
    </row>
    <row r="128" spans="1:22" s="17" customFormat="1" x14ac:dyDescent="0.3">
      <c r="A128" s="68" t="s">
        <v>21</v>
      </c>
      <c r="B128" s="15"/>
      <c r="C128" s="16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39"/>
      <c r="O128" s="15"/>
      <c r="P128" s="15"/>
      <c r="Q128" s="15"/>
      <c r="R128" s="15"/>
      <c r="S128" s="11"/>
      <c r="V128" s="19"/>
    </row>
    <row r="129" spans="1:154" s="17" customFormat="1" x14ac:dyDescent="0.3">
      <c r="A129" s="3" t="s">
        <v>122</v>
      </c>
      <c r="B129" s="15" t="s">
        <v>37</v>
      </c>
      <c r="C129" s="16" t="s">
        <v>123</v>
      </c>
      <c r="D129" s="15"/>
      <c r="E129" s="15"/>
      <c r="F129" s="15"/>
      <c r="G129" s="15"/>
      <c r="H129" s="15"/>
      <c r="I129" s="15"/>
      <c r="J129" s="15"/>
      <c r="K129" s="15"/>
      <c r="L129" s="15">
        <v>11</v>
      </c>
      <c r="M129" s="15"/>
      <c r="N129" s="39"/>
      <c r="O129" s="15"/>
      <c r="P129" s="15"/>
      <c r="Q129" s="15"/>
      <c r="R129" s="15"/>
      <c r="S129" s="11"/>
      <c r="V129" s="19"/>
    </row>
    <row r="130" spans="1:154" x14ac:dyDescent="0.3">
      <c r="A130" s="61"/>
      <c r="S130" s="11"/>
      <c r="T130" s="13"/>
      <c r="U130" s="13"/>
      <c r="V130" s="19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EX130" s="13"/>
    </row>
    <row r="131" spans="1:154" s="28" customFormat="1" x14ac:dyDescent="0.3">
      <c r="A131" s="53" t="s">
        <v>170</v>
      </c>
      <c r="C131" s="29"/>
      <c r="N131" s="56"/>
      <c r="S131" s="55"/>
      <c r="V131" s="20"/>
    </row>
    <row r="132" spans="1:154" x14ac:dyDescent="0.3">
      <c r="A132" s="50"/>
      <c r="S132" s="11"/>
      <c r="T132" s="13"/>
      <c r="U132" s="13"/>
      <c r="V132" s="19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EX132" s="13"/>
    </row>
    <row r="133" spans="1:154" s="28" customFormat="1" x14ac:dyDescent="0.3">
      <c r="A133" s="53" t="s">
        <v>22</v>
      </c>
      <c r="C133" s="29"/>
      <c r="N133" s="56"/>
      <c r="S133" s="55"/>
      <c r="V133" s="20"/>
    </row>
    <row r="134" spans="1:154" s="71" customFormat="1" x14ac:dyDescent="0.3">
      <c r="A134" s="33" t="s">
        <v>23</v>
      </c>
      <c r="B134" s="34"/>
      <c r="C134" s="35"/>
      <c r="D134" s="34"/>
      <c r="E134" s="34"/>
      <c r="F134" s="34"/>
      <c r="G134" s="34" t="s">
        <v>106</v>
      </c>
      <c r="H134" s="34"/>
      <c r="I134" s="34"/>
      <c r="J134" s="34"/>
      <c r="K134" s="34" t="s">
        <v>106</v>
      </c>
      <c r="L134" s="34"/>
      <c r="M134" s="34"/>
      <c r="N134" s="69"/>
      <c r="O134" s="34" t="s">
        <v>106</v>
      </c>
      <c r="P134" s="34" t="s">
        <v>106</v>
      </c>
      <c r="Q134" s="34"/>
      <c r="R134" s="34"/>
      <c r="S134" s="70"/>
      <c r="V134" s="23"/>
    </row>
    <row r="135" spans="1:154" s="71" customFormat="1" x14ac:dyDescent="0.3">
      <c r="A135" s="33" t="s">
        <v>24</v>
      </c>
      <c r="B135" s="34"/>
      <c r="C135" s="35"/>
      <c r="D135" s="34"/>
      <c r="E135" s="34" t="s">
        <v>33</v>
      </c>
      <c r="F135" s="34"/>
      <c r="G135" s="34"/>
      <c r="H135" s="34"/>
      <c r="I135" s="34"/>
      <c r="J135" s="34" t="s">
        <v>106</v>
      </c>
      <c r="K135" s="34"/>
      <c r="L135" s="34" t="s">
        <v>106</v>
      </c>
      <c r="M135" s="34"/>
      <c r="N135" s="69" t="s">
        <v>106</v>
      </c>
      <c r="O135" s="34"/>
      <c r="P135" s="34"/>
      <c r="Q135" s="34" t="s">
        <v>106</v>
      </c>
      <c r="R135" s="34" t="s">
        <v>106</v>
      </c>
      <c r="S135" s="70"/>
      <c r="V135" s="23"/>
    </row>
    <row r="136" spans="1:154" s="71" customFormat="1" x14ac:dyDescent="0.3">
      <c r="A136" s="33" t="s">
        <v>25</v>
      </c>
      <c r="B136" s="34"/>
      <c r="C136" s="35"/>
      <c r="D136" s="34" t="s">
        <v>33</v>
      </c>
      <c r="E136" s="34" t="s">
        <v>33</v>
      </c>
      <c r="F136" s="34" t="s">
        <v>33</v>
      </c>
      <c r="G136" s="34" t="s">
        <v>106</v>
      </c>
      <c r="H136" s="34" t="s">
        <v>106</v>
      </c>
      <c r="I136" s="34" t="s">
        <v>106</v>
      </c>
      <c r="J136" s="34" t="s">
        <v>106</v>
      </c>
      <c r="K136" s="34" t="s">
        <v>106</v>
      </c>
      <c r="L136" s="34" t="s">
        <v>106</v>
      </c>
      <c r="M136" s="34"/>
      <c r="N136" s="69"/>
      <c r="O136" s="34"/>
      <c r="P136" s="34"/>
      <c r="Q136" s="34" t="s">
        <v>106</v>
      </c>
      <c r="R136" s="34"/>
      <c r="S136" s="70"/>
      <c r="V136" s="23"/>
    </row>
    <row r="137" spans="1:154" s="71" customFormat="1" x14ac:dyDescent="0.3">
      <c r="A137" s="33" t="s">
        <v>26</v>
      </c>
      <c r="B137" s="34"/>
      <c r="C137" s="35"/>
      <c r="D137" s="34"/>
      <c r="E137" s="34"/>
      <c r="F137" s="34"/>
      <c r="G137" s="34"/>
      <c r="H137" s="34"/>
      <c r="I137" s="34" t="s">
        <v>106</v>
      </c>
      <c r="J137" s="34"/>
      <c r="K137" s="34" t="s">
        <v>106</v>
      </c>
      <c r="L137" s="34" t="s">
        <v>106</v>
      </c>
      <c r="M137" s="34"/>
      <c r="N137" s="69"/>
      <c r="O137" s="34"/>
      <c r="P137" s="34"/>
      <c r="Q137" s="34"/>
      <c r="R137" s="34"/>
      <c r="S137" s="70"/>
      <c r="V137" s="23"/>
    </row>
    <row r="138" spans="1:154" s="71" customFormat="1" x14ac:dyDescent="0.3">
      <c r="A138" s="33" t="s">
        <v>27</v>
      </c>
      <c r="B138" s="34"/>
      <c r="C138" s="35"/>
      <c r="D138" s="34"/>
      <c r="E138" s="34" t="s">
        <v>33</v>
      </c>
      <c r="F138" s="34"/>
      <c r="G138" s="34" t="s">
        <v>106</v>
      </c>
      <c r="H138" s="34"/>
      <c r="I138" s="34" t="s">
        <v>106</v>
      </c>
      <c r="J138" s="34"/>
      <c r="K138" s="34" t="s">
        <v>106</v>
      </c>
      <c r="L138" s="34" t="s">
        <v>106</v>
      </c>
      <c r="M138" s="34" t="s">
        <v>106</v>
      </c>
      <c r="N138" s="69" t="s">
        <v>106</v>
      </c>
      <c r="O138" s="34" t="s">
        <v>106</v>
      </c>
      <c r="P138" s="34"/>
      <c r="Q138" s="34" t="s">
        <v>106</v>
      </c>
      <c r="R138" s="34"/>
      <c r="S138" s="70"/>
      <c r="V138" s="23"/>
    </row>
    <row r="139" spans="1:154" s="71" customFormat="1" x14ac:dyDescent="0.3">
      <c r="A139" s="33" t="s">
        <v>28</v>
      </c>
      <c r="B139" s="34"/>
      <c r="C139" s="35"/>
      <c r="D139" s="34"/>
      <c r="E139" s="34" t="s">
        <v>33</v>
      </c>
      <c r="F139" s="34" t="s">
        <v>33</v>
      </c>
      <c r="G139" s="34" t="s">
        <v>106</v>
      </c>
      <c r="H139" s="34" t="s">
        <v>106</v>
      </c>
      <c r="I139" s="34" t="s">
        <v>106</v>
      </c>
      <c r="J139" s="34" t="s">
        <v>106</v>
      </c>
      <c r="K139" s="34"/>
      <c r="L139" s="34" t="s">
        <v>106</v>
      </c>
      <c r="M139" s="34" t="s">
        <v>106</v>
      </c>
      <c r="N139" s="69" t="s">
        <v>106</v>
      </c>
      <c r="O139" s="34" t="s">
        <v>106</v>
      </c>
      <c r="P139" s="34" t="s">
        <v>106</v>
      </c>
      <c r="Q139" s="34" t="s">
        <v>106</v>
      </c>
      <c r="R139" s="34" t="s">
        <v>106</v>
      </c>
      <c r="S139" s="70"/>
      <c r="V139" s="23"/>
    </row>
    <row r="140" spans="1:154" s="71" customFormat="1" x14ac:dyDescent="0.3">
      <c r="A140" s="33" t="s">
        <v>29</v>
      </c>
      <c r="B140" s="34"/>
      <c r="C140" s="35"/>
      <c r="D140" s="34"/>
      <c r="E140" s="34"/>
      <c r="F140" s="34"/>
      <c r="G140" s="34"/>
      <c r="H140" s="34"/>
      <c r="I140" s="34" t="s">
        <v>106</v>
      </c>
      <c r="J140" s="34"/>
      <c r="K140" s="34"/>
      <c r="L140" s="34"/>
      <c r="M140" s="34"/>
      <c r="N140" s="69"/>
      <c r="O140" s="34" t="s">
        <v>106</v>
      </c>
      <c r="P140" s="34"/>
      <c r="Q140" s="34"/>
      <c r="R140" s="34"/>
      <c r="S140" s="70"/>
      <c r="V140" s="23"/>
    </row>
    <row r="141" spans="1:154" s="71" customFormat="1" x14ac:dyDescent="0.3">
      <c r="A141" s="33" t="s">
        <v>30</v>
      </c>
      <c r="B141" s="34"/>
      <c r="C141" s="35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69" t="s">
        <v>106</v>
      </c>
      <c r="O141" s="34"/>
      <c r="P141" s="34"/>
      <c r="Q141" s="34"/>
      <c r="R141" s="34"/>
      <c r="S141" s="70"/>
      <c r="V141" s="23"/>
    </row>
    <row r="142" spans="1:154" x14ac:dyDescent="0.3">
      <c r="A142" s="32" t="s">
        <v>60</v>
      </c>
      <c r="J142" s="9" t="s">
        <v>106</v>
      </c>
      <c r="N142" s="38" t="s">
        <v>106</v>
      </c>
      <c r="Q142" s="9" t="s">
        <v>106</v>
      </c>
      <c r="S142" s="11"/>
      <c r="T142" s="13"/>
      <c r="U142" s="13"/>
      <c r="V142" s="19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EX142" s="13"/>
    </row>
    <row r="143" spans="1:154" s="59" customFormat="1" x14ac:dyDescent="0.3">
      <c r="A143" s="58" t="s">
        <v>31</v>
      </c>
      <c r="B143" s="30"/>
      <c r="C143" s="31"/>
      <c r="D143" s="30"/>
      <c r="E143" s="30"/>
      <c r="F143" s="30"/>
      <c r="G143" s="30" t="s">
        <v>168</v>
      </c>
      <c r="H143" s="30"/>
      <c r="I143" s="30"/>
      <c r="J143" s="30"/>
      <c r="K143" s="30"/>
      <c r="L143" s="30"/>
      <c r="M143" s="30"/>
      <c r="N143" s="57" t="s">
        <v>169</v>
      </c>
      <c r="O143" s="30"/>
      <c r="P143" s="30"/>
      <c r="Q143" s="30"/>
      <c r="R143" s="30"/>
      <c r="S143" s="60"/>
      <c r="V143" s="21"/>
    </row>
    <row r="144" spans="1:154" x14ac:dyDescent="0.3">
      <c r="A144" s="13"/>
      <c r="B144" s="13"/>
      <c r="C144" s="36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72"/>
      <c r="O144" s="12"/>
      <c r="P144" s="12"/>
      <c r="Q144" s="12"/>
      <c r="R144" s="12"/>
      <c r="S144" s="5"/>
      <c r="T144" s="1"/>
      <c r="U144" s="1"/>
      <c r="V144" s="24"/>
      <c r="W144" s="2"/>
      <c r="X144" s="1"/>
      <c r="Y144" s="1"/>
      <c r="Z144" s="1"/>
      <c r="AA144" s="1"/>
      <c r="AJ144" s="13"/>
      <c r="AM144" s="5"/>
      <c r="AU144" s="1"/>
      <c r="AV144" s="13"/>
      <c r="AX144" s="5"/>
      <c r="AY144" s="5"/>
      <c r="AZ144" s="5"/>
      <c r="BA144" s="5"/>
      <c r="BB144" s="5"/>
      <c r="BC144" s="5"/>
      <c r="BD144" s="13"/>
      <c r="BE144" s="5" t="s">
        <v>48</v>
      </c>
      <c r="BG144" s="13"/>
      <c r="BH144" s="13"/>
      <c r="BI144" s="5" t="s">
        <v>48</v>
      </c>
      <c r="BL144" s="13"/>
      <c r="BM144" s="5" t="s">
        <v>58</v>
      </c>
      <c r="BO144" s="13"/>
      <c r="BP144" s="5" t="s">
        <v>49</v>
      </c>
      <c r="BS144" s="1" t="s">
        <v>58</v>
      </c>
      <c r="BT144" s="13"/>
      <c r="BU144" s="13"/>
      <c r="BV144" s="1"/>
      <c r="BW144" s="13"/>
      <c r="BX144" s="13"/>
      <c r="BY144" s="13"/>
      <c r="BZ144" s="13"/>
      <c r="CA144" s="13"/>
      <c r="CB144" s="13"/>
      <c r="CC144" s="13"/>
      <c r="CD144" s="5"/>
      <c r="CE144" s="5"/>
      <c r="CF144" s="5"/>
      <c r="CI144" s="9" t="s">
        <v>51</v>
      </c>
      <c r="CK144" s="9"/>
      <c r="CL144" s="9"/>
      <c r="CM144" s="9"/>
      <c r="CN144" s="5" t="s">
        <v>50</v>
      </c>
      <c r="CO144" s="9"/>
      <c r="CR144" s="12"/>
      <c r="CT144" s="13"/>
      <c r="CV144" s="13"/>
      <c r="CW144" s="13"/>
      <c r="CX144" s="12"/>
      <c r="CY144" s="13"/>
      <c r="DA144" s="13"/>
      <c r="DB144" s="13"/>
      <c r="DC144" s="13"/>
      <c r="DD144" s="13" t="s">
        <v>73</v>
      </c>
      <c r="DE144" s="13"/>
      <c r="DF144" s="13"/>
      <c r="DG144" s="13"/>
      <c r="DH144" s="13"/>
      <c r="DI144" s="13"/>
      <c r="DJ144" s="13"/>
      <c r="DK144" s="13"/>
      <c r="DL144" s="5" t="s">
        <v>59</v>
      </c>
      <c r="DP144" s="1"/>
      <c r="DQ144" s="13"/>
      <c r="DR144" s="13"/>
      <c r="DS144" s="13"/>
      <c r="EA144" s="5"/>
      <c r="EE144" s="1"/>
      <c r="EG144" s="1"/>
    </row>
    <row r="145" spans="108:108" x14ac:dyDescent="0.3">
      <c r="DD145" s="5" t="s">
        <v>74</v>
      </c>
    </row>
  </sheetData>
  <sortState columnSort="1" ref="F1:DV239">
    <sortCondition ref="F2:DV2"/>
  </sortState>
  <phoneticPr fontId="6" type="noConversion"/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"/>
  <sheetViews>
    <sheetView tabSelected="1" topLeftCell="A36" zoomScale="70" zoomScaleNormal="70" workbookViewId="0">
      <selection activeCell="C12" sqref="C12:Q12"/>
    </sheetView>
  </sheetViews>
  <sheetFormatPr defaultColWidth="11" defaultRowHeight="14.4" x14ac:dyDescent="0.3"/>
  <cols>
    <col min="1" max="1" width="23" style="93" bestFit="1" customWidth="1"/>
    <col min="2" max="2" width="11" style="85"/>
    <col min="3" max="3" width="11" style="93"/>
    <col min="4" max="5" width="11" style="95"/>
    <col min="6" max="7" width="11" style="96"/>
    <col min="8" max="12" width="11" style="95"/>
    <col min="13" max="17" width="11" style="96"/>
    <col min="18" max="18" width="11" style="109"/>
    <col min="19" max="16384" width="11" style="95"/>
  </cols>
  <sheetData>
    <row r="1" spans="1:34" x14ac:dyDescent="0.3">
      <c r="A1" s="94" t="s">
        <v>212</v>
      </c>
      <c r="C1" s="92">
        <v>20657</v>
      </c>
      <c r="D1" s="96">
        <v>20656</v>
      </c>
      <c r="E1" s="96">
        <v>20652</v>
      </c>
      <c r="F1" s="96">
        <v>20654</v>
      </c>
      <c r="G1" s="96">
        <v>20655</v>
      </c>
      <c r="H1" s="96">
        <v>20650</v>
      </c>
      <c r="I1" s="96">
        <v>20649</v>
      </c>
      <c r="J1" s="96">
        <v>20651</v>
      </c>
      <c r="K1" s="96">
        <v>20648</v>
      </c>
      <c r="L1" s="96">
        <v>20653</v>
      </c>
      <c r="M1" s="96">
        <v>3725</v>
      </c>
      <c r="N1" s="96">
        <v>3726</v>
      </c>
      <c r="O1" s="96">
        <v>3727</v>
      </c>
      <c r="P1" s="96">
        <v>3723</v>
      </c>
      <c r="Q1" s="96">
        <v>3724</v>
      </c>
      <c r="R1" s="109">
        <f>COUNT(C1:Q1)</f>
        <v>15</v>
      </c>
    </row>
    <row r="2" spans="1:34" x14ac:dyDescent="0.3">
      <c r="A2" s="94" t="s">
        <v>75</v>
      </c>
      <c r="C2" s="92" t="s">
        <v>78</v>
      </c>
      <c r="D2" s="96" t="s">
        <v>78</v>
      </c>
      <c r="E2" s="96" t="s">
        <v>78</v>
      </c>
      <c r="F2" s="96" t="s">
        <v>78</v>
      </c>
      <c r="G2" s="96" t="s">
        <v>78</v>
      </c>
      <c r="H2" s="96" t="s">
        <v>78</v>
      </c>
      <c r="I2" s="96" t="s">
        <v>78</v>
      </c>
      <c r="J2" s="96" t="s">
        <v>78</v>
      </c>
      <c r="K2" s="96" t="s">
        <v>78</v>
      </c>
      <c r="L2" s="96" t="s">
        <v>78</v>
      </c>
      <c r="M2" s="96" t="s">
        <v>213</v>
      </c>
      <c r="N2" s="96" t="s">
        <v>213</v>
      </c>
      <c r="O2" s="96" t="s">
        <v>213</v>
      </c>
      <c r="P2" s="96" t="s">
        <v>213</v>
      </c>
      <c r="Q2" s="96" t="s">
        <v>213</v>
      </c>
    </row>
    <row r="3" spans="1:34" x14ac:dyDescent="0.3">
      <c r="A3" s="97" t="s">
        <v>77</v>
      </c>
      <c r="C3" s="92">
        <v>2019</v>
      </c>
      <c r="D3" s="96"/>
      <c r="E3" s="96">
        <v>2059</v>
      </c>
      <c r="F3" s="96">
        <v>2038</v>
      </c>
      <c r="G3" s="96">
        <v>2048</v>
      </c>
      <c r="H3" s="96">
        <v>2109</v>
      </c>
      <c r="I3" s="96">
        <v>2078</v>
      </c>
      <c r="J3" s="96">
        <v>2032</v>
      </c>
      <c r="K3" s="96">
        <v>2078</v>
      </c>
      <c r="L3" s="96">
        <v>2097</v>
      </c>
      <c r="M3" s="96">
        <v>293</v>
      </c>
      <c r="N3" s="96">
        <v>294</v>
      </c>
      <c r="O3" s="96">
        <v>294</v>
      </c>
      <c r="P3" s="96">
        <v>292</v>
      </c>
      <c r="Q3" s="96">
        <v>294</v>
      </c>
      <c r="AG3" s="98"/>
      <c r="AH3" s="98"/>
    </row>
    <row r="4" spans="1:34" x14ac:dyDescent="0.3">
      <c r="A4" s="99" t="s">
        <v>214</v>
      </c>
      <c r="C4" s="92" t="s">
        <v>215</v>
      </c>
      <c r="D4" s="96" t="s">
        <v>215</v>
      </c>
      <c r="E4" s="96" t="s">
        <v>216</v>
      </c>
      <c r="F4" s="96" t="s">
        <v>215</v>
      </c>
      <c r="G4" s="96" t="s">
        <v>215</v>
      </c>
      <c r="H4" s="96" t="s">
        <v>215</v>
      </c>
      <c r="I4" s="96" t="s">
        <v>215</v>
      </c>
      <c r="J4" s="96" t="s">
        <v>215</v>
      </c>
      <c r="K4" s="96" t="s">
        <v>215</v>
      </c>
      <c r="L4" s="96" t="s">
        <v>217</v>
      </c>
      <c r="M4" s="96" t="s">
        <v>159</v>
      </c>
      <c r="N4" s="96" t="s">
        <v>159</v>
      </c>
      <c r="O4" s="96" t="s">
        <v>159</v>
      </c>
      <c r="P4" s="96" t="s">
        <v>159</v>
      </c>
      <c r="Q4" s="96" t="s">
        <v>159</v>
      </c>
      <c r="AG4" s="98"/>
      <c r="AH4" s="98"/>
    </row>
    <row r="5" spans="1:34" x14ac:dyDescent="0.3">
      <c r="A5" s="94" t="s">
        <v>218</v>
      </c>
      <c r="C5" s="92" t="s">
        <v>219</v>
      </c>
      <c r="D5" s="107" t="s">
        <v>220</v>
      </c>
      <c r="E5" s="96" t="s">
        <v>221</v>
      </c>
      <c r="F5" s="96" t="s">
        <v>222</v>
      </c>
      <c r="G5" s="96" t="s">
        <v>223</v>
      </c>
      <c r="H5" s="96" t="s">
        <v>224</v>
      </c>
      <c r="I5" s="96"/>
      <c r="J5" s="96"/>
      <c r="K5" s="96"/>
      <c r="L5" s="96"/>
      <c r="AG5" s="98"/>
      <c r="AH5" s="98"/>
    </row>
    <row r="6" spans="1:34" x14ac:dyDescent="0.3">
      <c r="A6" s="99" t="s">
        <v>225</v>
      </c>
      <c r="C6" s="92"/>
      <c r="D6" s="96"/>
      <c r="E6" s="96"/>
      <c r="H6" s="96"/>
      <c r="I6" s="96"/>
      <c r="J6" s="96"/>
      <c r="K6" s="96"/>
      <c r="L6" s="96"/>
    </row>
    <row r="7" spans="1:34" x14ac:dyDescent="0.3">
      <c r="A7" s="99" t="s">
        <v>226</v>
      </c>
      <c r="C7" s="92"/>
      <c r="D7" s="96"/>
      <c r="E7" s="96"/>
      <c r="H7" s="96"/>
      <c r="I7" s="96"/>
      <c r="J7" s="96"/>
      <c r="K7" s="96"/>
      <c r="L7" s="96"/>
    </row>
    <row r="8" spans="1:34" x14ac:dyDescent="0.3">
      <c r="A8" s="100" t="s">
        <v>227</v>
      </c>
      <c r="C8" s="108"/>
      <c r="D8" s="96"/>
      <c r="E8" s="96"/>
      <c r="H8" s="96"/>
      <c r="I8" s="96"/>
      <c r="J8" s="96"/>
      <c r="K8" s="96"/>
      <c r="L8" s="96"/>
    </row>
    <row r="9" spans="1:34" x14ac:dyDescent="0.3">
      <c r="A9" s="84" t="s">
        <v>171</v>
      </c>
      <c r="C9" s="108">
        <v>43300</v>
      </c>
      <c r="D9" s="101">
        <v>43314</v>
      </c>
      <c r="E9" s="101">
        <v>43343</v>
      </c>
      <c r="F9" s="101">
        <v>43343</v>
      </c>
      <c r="G9" s="101">
        <v>43344</v>
      </c>
      <c r="H9" s="101">
        <v>43381</v>
      </c>
      <c r="I9" s="101">
        <v>43381</v>
      </c>
      <c r="J9" s="101">
        <v>43436</v>
      </c>
      <c r="K9" s="101">
        <v>43436</v>
      </c>
      <c r="L9" s="101">
        <v>43487</v>
      </c>
      <c r="M9" s="101">
        <v>43438</v>
      </c>
      <c r="N9" s="101">
        <v>43381</v>
      </c>
      <c r="O9" s="101">
        <v>43381</v>
      </c>
      <c r="P9" s="101">
        <v>43381</v>
      </c>
      <c r="Q9" s="101">
        <v>43436</v>
      </c>
    </row>
    <row r="10" spans="1:34" x14ac:dyDescent="0.3">
      <c r="A10" s="84" t="s">
        <v>172</v>
      </c>
      <c r="C10" s="92">
        <f>SUM(C38+C50++C53)</f>
        <v>6.9730000000000008</v>
      </c>
      <c r="D10" s="92">
        <f t="shared" ref="D10:Q10" si="0">SUM(D38+D50++D53)</f>
        <v>4.7709999999999999</v>
      </c>
      <c r="E10" s="92">
        <f t="shared" si="0"/>
        <v>6.9749999999999996</v>
      </c>
      <c r="F10" s="92">
        <f t="shared" si="0"/>
        <v>6.8840000000000003</v>
      </c>
      <c r="G10" s="92">
        <f t="shared" si="0"/>
        <v>0.21400000000000002</v>
      </c>
      <c r="H10" s="92">
        <f t="shared" si="0"/>
        <v>0.92399999999999993</v>
      </c>
      <c r="I10" s="92">
        <f t="shared" si="0"/>
        <v>0.497</v>
      </c>
      <c r="J10" s="92">
        <f t="shared" si="0"/>
        <v>0</v>
      </c>
      <c r="K10" s="92">
        <f t="shared" si="0"/>
        <v>0.623</v>
      </c>
      <c r="L10" s="92">
        <f t="shared" si="0"/>
        <v>1.234</v>
      </c>
      <c r="M10" s="92">
        <f t="shared" si="0"/>
        <v>16.362000000000002</v>
      </c>
      <c r="N10" s="92">
        <f t="shared" si="0"/>
        <v>1.5350000000000001</v>
      </c>
      <c r="O10" s="92">
        <f t="shared" si="0"/>
        <v>1.423</v>
      </c>
      <c r="P10" s="92">
        <f t="shared" si="0"/>
        <v>0.46299999999999997</v>
      </c>
      <c r="Q10" s="92">
        <f t="shared" si="0"/>
        <v>3.3699999999999997</v>
      </c>
      <c r="R10" s="109">
        <f>SUM(M10:Q10)</f>
        <v>23.153000000000002</v>
      </c>
      <c r="S10" s="95">
        <f>SUM(C10:Q10)</f>
        <v>52.248000000000005</v>
      </c>
    </row>
    <row r="11" spans="1:34" s="102" customFormat="1" x14ac:dyDescent="0.3">
      <c r="A11" s="84" t="s">
        <v>173</v>
      </c>
      <c r="B11" s="86"/>
      <c r="C11" s="103">
        <f>SUM(C38+C50)</f>
        <v>3.3370000000000002</v>
      </c>
      <c r="D11" s="103">
        <f t="shared" ref="D11:Q11" si="1">SUM(D38+D50)</f>
        <v>2.9259999999999997</v>
      </c>
      <c r="E11" s="103">
        <f t="shared" si="1"/>
        <v>4.0060000000000002</v>
      </c>
      <c r="F11" s="103">
        <f t="shared" si="1"/>
        <v>3.6840000000000002</v>
      </c>
      <c r="G11" s="103">
        <f t="shared" si="1"/>
        <v>0.14700000000000002</v>
      </c>
      <c r="H11" s="103">
        <f t="shared" si="1"/>
        <v>0.20900000000000002</v>
      </c>
      <c r="I11" s="103">
        <f t="shared" si="1"/>
        <v>0.32700000000000001</v>
      </c>
      <c r="J11" s="103">
        <f t="shared" si="1"/>
        <v>0</v>
      </c>
      <c r="K11" s="103">
        <f t="shared" si="1"/>
        <v>0.25700000000000001</v>
      </c>
      <c r="L11" s="103">
        <f t="shared" si="1"/>
        <v>0.29799999999999999</v>
      </c>
      <c r="M11" s="103">
        <f t="shared" si="1"/>
        <v>11.110000000000001</v>
      </c>
      <c r="N11" s="103">
        <f t="shared" si="1"/>
        <v>0.27100000000000002</v>
      </c>
      <c r="O11" s="103">
        <f t="shared" si="1"/>
        <v>0.55800000000000005</v>
      </c>
      <c r="P11" s="103">
        <f t="shared" si="1"/>
        <v>0.11899999999999999</v>
      </c>
      <c r="Q11" s="103">
        <f t="shared" si="1"/>
        <v>3.1029999999999998</v>
      </c>
      <c r="R11" s="103"/>
    </row>
    <row r="12" spans="1:34" s="93" customFormat="1" x14ac:dyDescent="0.3">
      <c r="A12" s="84" t="s">
        <v>174</v>
      </c>
      <c r="B12" s="85"/>
      <c r="C12" s="92">
        <f>SUM(C37+C49)</f>
        <v>124</v>
      </c>
      <c r="D12" s="92">
        <f t="shared" ref="D12:Q12" si="2">SUM(D37+D49)</f>
        <v>136</v>
      </c>
      <c r="E12" s="92">
        <f t="shared" si="2"/>
        <v>247</v>
      </c>
      <c r="F12" s="92">
        <f t="shared" si="2"/>
        <v>95</v>
      </c>
      <c r="G12" s="92">
        <f t="shared" si="2"/>
        <v>24</v>
      </c>
      <c r="H12" s="92">
        <f t="shared" si="2"/>
        <v>7</v>
      </c>
      <c r="I12" s="92">
        <f t="shared" si="2"/>
        <v>9</v>
      </c>
      <c r="J12" s="92">
        <f t="shared" si="2"/>
        <v>0</v>
      </c>
      <c r="K12" s="92">
        <f t="shared" si="2"/>
        <v>10</v>
      </c>
      <c r="L12" s="92">
        <f t="shared" si="2"/>
        <v>16</v>
      </c>
      <c r="M12" s="92">
        <f t="shared" si="2"/>
        <v>40</v>
      </c>
      <c r="N12" s="92">
        <f t="shared" si="2"/>
        <v>18</v>
      </c>
      <c r="O12" s="92">
        <f t="shared" si="2"/>
        <v>16</v>
      </c>
      <c r="P12" s="92">
        <f t="shared" si="2"/>
        <v>6</v>
      </c>
      <c r="Q12" s="92">
        <f t="shared" si="2"/>
        <v>30</v>
      </c>
      <c r="R12" s="103"/>
    </row>
    <row r="13" spans="1:34" s="87" customFormat="1" x14ac:dyDescent="0.3">
      <c r="A13" s="87" t="s">
        <v>11</v>
      </c>
      <c r="B13" s="88" t="s">
        <v>12</v>
      </c>
      <c r="R13" s="104"/>
    </row>
    <row r="14" spans="1:34" s="89" customFormat="1" x14ac:dyDescent="0.3">
      <c r="A14" s="89" t="s">
        <v>175</v>
      </c>
      <c r="B14" s="90"/>
      <c r="R14" s="105" t="s">
        <v>228</v>
      </c>
      <c r="S14" s="89" t="s">
        <v>229</v>
      </c>
      <c r="T14" s="89" t="s">
        <v>230</v>
      </c>
    </row>
    <row r="15" spans="1:34" x14ac:dyDescent="0.3">
      <c r="A15" s="91" t="s">
        <v>176</v>
      </c>
      <c r="C15" s="93">
        <v>15</v>
      </c>
      <c r="E15" s="95">
        <v>3</v>
      </c>
      <c r="G15" s="96">
        <v>6</v>
      </c>
      <c r="I15" s="95">
        <v>1</v>
      </c>
      <c r="K15" s="95">
        <v>6</v>
      </c>
      <c r="L15" s="95">
        <v>5</v>
      </c>
      <c r="M15" s="96">
        <v>3</v>
      </c>
      <c r="O15" s="96">
        <v>1</v>
      </c>
      <c r="R15" s="109">
        <f>COUNT(C15:Q15)/15</f>
        <v>0.53333333333333333</v>
      </c>
      <c r="S15" s="95">
        <f>SUM(C15:L15)</f>
        <v>36</v>
      </c>
      <c r="T15" s="95">
        <f>SUM(M15:Q15)</f>
        <v>4</v>
      </c>
    </row>
    <row r="16" spans="1:34" x14ac:dyDescent="0.3">
      <c r="A16" s="91" t="s">
        <v>177</v>
      </c>
      <c r="C16" s="93">
        <v>0.17799999999999999</v>
      </c>
      <c r="E16" s="95">
        <v>0.19600000000000001</v>
      </c>
      <c r="G16" s="96">
        <v>4.9000000000000002E-2</v>
      </c>
      <c r="I16" s="95">
        <v>0.3</v>
      </c>
      <c r="K16" s="95">
        <v>0.185</v>
      </c>
      <c r="L16" s="95">
        <v>0.115</v>
      </c>
      <c r="M16" s="96">
        <v>0.17899999999999999</v>
      </c>
      <c r="O16" s="96">
        <v>3.5000000000000003E-2</v>
      </c>
      <c r="R16" s="109">
        <f t="shared" ref="R16:R53" si="3">COUNT(C16:Q16)/15</f>
        <v>0.53333333333333333</v>
      </c>
      <c r="S16" s="95">
        <f t="shared" ref="S16:S38" si="4">SUM(C16:L16)</f>
        <v>1.0229999999999999</v>
      </c>
      <c r="T16" s="95">
        <f t="shared" ref="T16:T38" si="5">SUM(M16:Q16)</f>
        <v>0.214</v>
      </c>
    </row>
    <row r="17" spans="1:20" x14ac:dyDescent="0.3">
      <c r="A17" s="91" t="s">
        <v>178</v>
      </c>
      <c r="C17" s="92">
        <v>3</v>
      </c>
      <c r="F17" s="96">
        <v>4</v>
      </c>
      <c r="H17" s="95">
        <v>5</v>
      </c>
      <c r="I17" s="95">
        <v>1</v>
      </c>
      <c r="L17" s="95">
        <v>3</v>
      </c>
      <c r="R17" s="109">
        <f t="shared" si="3"/>
        <v>0.33333333333333331</v>
      </c>
      <c r="S17" s="95">
        <f t="shared" si="4"/>
        <v>16</v>
      </c>
      <c r="T17" s="95">
        <f t="shared" si="5"/>
        <v>0</v>
      </c>
    </row>
    <row r="18" spans="1:20" x14ac:dyDescent="0.3">
      <c r="A18" s="91" t="s">
        <v>179</v>
      </c>
      <c r="C18" s="92">
        <v>5.1999999999999998E-2</v>
      </c>
      <c r="F18" s="96">
        <v>4.2000000000000003E-2</v>
      </c>
      <c r="H18" s="95">
        <v>0.16</v>
      </c>
      <c r="I18" s="95">
        <v>2E-3</v>
      </c>
      <c r="L18" s="95">
        <v>3.9E-2</v>
      </c>
      <c r="R18" s="109">
        <f t="shared" si="3"/>
        <v>0.33333333333333331</v>
      </c>
      <c r="S18" s="95">
        <f t="shared" si="4"/>
        <v>0.29499999999999998</v>
      </c>
      <c r="T18" s="95">
        <f t="shared" si="5"/>
        <v>0</v>
      </c>
    </row>
    <row r="19" spans="1:20" x14ac:dyDescent="0.3">
      <c r="A19" s="91" t="s">
        <v>180</v>
      </c>
      <c r="C19" s="92"/>
      <c r="F19" s="96">
        <v>1</v>
      </c>
      <c r="R19" s="109">
        <f t="shared" si="3"/>
        <v>6.6666666666666666E-2</v>
      </c>
      <c r="S19" s="95">
        <f t="shared" si="4"/>
        <v>1</v>
      </c>
      <c r="T19" s="95">
        <f t="shared" si="5"/>
        <v>0</v>
      </c>
    </row>
    <row r="20" spans="1:20" x14ac:dyDescent="0.3">
      <c r="A20" s="91" t="s">
        <v>181</v>
      </c>
      <c r="C20" s="92"/>
      <c r="F20" s="96">
        <v>5.0000000000000001E-3</v>
      </c>
      <c r="R20" s="109">
        <f t="shared" si="3"/>
        <v>6.6666666666666666E-2</v>
      </c>
      <c r="S20" s="95">
        <f t="shared" si="4"/>
        <v>5.0000000000000001E-3</v>
      </c>
      <c r="T20" s="95">
        <f t="shared" si="5"/>
        <v>0</v>
      </c>
    </row>
    <row r="21" spans="1:20" x14ac:dyDescent="0.3">
      <c r="A21" s="91" t="s">
        <v>182</v>
      </c>
      <c r="B21" s="85" t="s">
        <v>183</v>
      </c>
      <c r="C21" s="92">
        <v>5</v>
      </c>
      <c r="R21" s="109">
        <f t="shared" si="3"/>
        <v>6.6666666666666666E-2</v>
      </c>
      <c r="S21" s="95">
        <f t="shared" si="4"/>
        <v>5</v>
      </c>
      <c r="T21" s="95">
        <f t="shared" si="5"/>
        <v>0</v>
      </c>
    </row>
    <row r="22" spans="1:20" x14ac:dyDescent="0.3">
      <c r="A22" s="91" t="s">
        <v>184</v>
      </c>
      <c r="B22" s="85" t="s">
        <v>183</v>
      </c>
      <c r="C22" s="92">
        <v>0.04</v>
      </c>
      <c r="R22" s="109">
        <f t="shared" si="3"/>
        <v>6.6666666666666666E-2</v>
      </c>
      <c r="S22" s="95">
        <f t="shared" si="4"/>
        <v>0.04</v>
      </c>
      <c r="T22" s="95">
        <f t="shared" si="5"/>
        <v>0</v>
      </c>
    </row>
    <row r="23" spans="1:20" s="93" customFormat="1" x14ac:dyDescent="0.3">
      <c r="A23" s="91" t="s">
        <v>185</v>
      </c>
      <c r="B23" s="85" t="s">
        <v>183</v>
      </c>
      <c r="C23" s="92">
        <v>95</v>
      </c>
      <c r="F23" s="92">
        <v>79</v>
      </c>
      <c r="G23" s="92">
        <v>18</v>
      </c>
      <c r="K23" s="93">
        <v>2</v>
      </c>
      <c r="M23" s="92"/>
      <c r="N23" s="92"/>
      <c r="O23" s="92"/>
      <c r="P23" s="92"/>
      <c r="Q23" s="92"/>
      <c r="R23" s="109">
        <f t="shared" si="3"/>
        <v>0.26666666666666666</v>
      </c>
      <c r="S23" s="95">
        <f t="shared" si="4"/>
        <v>194</v>
      </c>
      <c r="T23" s="95">
        <f t="shared" si="5"/>
        <v>0</v>
      </c>
    </row>
    <row r="24" spans="1:20" s="93" customFormat="1" x14ac:dyDescent="0.3">
      <c r="A24" s="91" t="s">
        <v>186</v>
      </c>
      <c r="B24" s="85" t="s">
        <v>183</v>
      </c>
      <c r="C24" s="93">
        <v>3.048</v>
      </c>
      <c r="F24" s="92">
        <v>2.9529999999999998</v>
      </c>
      <c r="G24" s="92">
        <v>9.8000000000000004E-2</v>
      </c>
      <c r="K24" s="93">
        <v>2.8000000000000001E-2</v>
      </c>
      <c r="M24" s="92"/>
      <c r="N24" s="92"/>
      <c r="O24" s="92"/>
      <c r="P24" s="92"/>
      <c r="Q24" s="92"/>
      <c r="R24" s="109">
        <f t="shared" si="3"/>
        <v>0.26666666666666666</v>
      </c>
      <c r="S24" s="95">
        <f t="shared" si="4"/>
        <v>6.1269999999999989</v>
      </c>
      <c r="T24" s="95">
        <f t="shared" si="5"/>
        <v>0</v>
      </c>
    </row>
    <row r="25" spans="1:20" s="93" customFormat="1" x14ac:dyDescent="0.3">
      <c r="A25" s="91" t="s">
        <v>187</v>
      </c>
      <c r="B25" s="85" t="s">
        <v>183</v>
      </c>
      <c r="F25" s="96">
        <v>8</v>
      </c>
      <c r="G25" s="92"/>
      <c r="H25" s="95">
        <v>2</v>
      </c>
      <c r="L25" s="93">
        <v>3</v>
      </c>
      <c r="M25" s="92"/>
      <c r="N25" s="92"/>
      <c r="O25" s="92"/>
      <c r="P25" s="92"/>
      <c r="Q25" s="92"/>
      <c r="R25" s="109">
        <f t="shared" si="3"/>
        <v>0.2</v>
      </c>
      <c r="S25" s="95">
        <f t="shared" si="4"/>
        <v>13</v>
      </c>
      <c r="T25" s="95">
        <f t="shared" si="5"/>
        <v>0</v>
      </c>
    </row>
    <row r="26" spans="1:20" s="93" customFormat="1" x14ac:dyDescent="0.3">
      <c r="A26" s="91" t="s">
        <v>188</v>
      </c>
      <c r="B26" s="85" t="s">
        <v>183</v>
      </c>
      <c r="F26" s="96">
        <v>0.33400000000000002</v>
      </c>
      <c r="G26" s="92"/>
      <c r="H26" s="95">
        <v>4.9000000000000002E-2</v>
      </c>
      <c r="L26" s="93">
        <v>5.2999999999999999E-2</v>
      </c>
      <c r="M26" s="92"/>
      <c r="N26" s="92"/>
      <c r="O26" s="92"/>
      <c r="P26" s="92"/>
      <c r="Q26" s="92"/>
      <c r="R26" s="109">
        <f t="shared" si="3"/>
        <v>0.2</v>
      </c>
      <c r="S26" s="95">
        <f t="shared" si="4"/>
        <v>0.436</v>
      </c>
      <c r="T26" s="95">
        <f t="shared" si="5"/>
        <v>0</v>
      </c>
    </row>
    <row r="27" spans="1:20" x14ac:dyDescent="0.3">
      <c r="A27" s="91" t="s">
        <v>189</v>
      </c>
      <c r="B27" s="85" t="s">
        <v>190</v>
      </c>
      <c r="E27" s="95">
        <v>4</v>
      </c>
      <c r="R27" s="109">
        <f t="shared" si="3"/>
        <v>6.6666666666666666E-2</v>
      </c>
      <c r="S27" s="95">
        <f t="shared" si="4"/>
        <v>4</v>
      </c>
      <c r="T27" s="95">
        <f t="shared" si="5"/>
        <v>0</v>
      </c>
    </row>
    <row r="28" spans="1:20" x14ac:dyDescent="0.3">
      <c r="A28" s="91" t="s">
        <v>191</v>
      </c>
      <c r="B28" s="85" t="s">
        <v>190</v>
      </c>
      <c r="E28" s="95">
        <v>4.7E-2</v>
      </c>
      <c r="R28" s="109">
        <f t="shared" si="3"/>
        <v>6.6666666666666666E-2</v>
      </c>
      <c r="S28" s="95">
        <f t="shared" si="4"/>
        <v>4.7E-2</v>
      </c>
      <c r="T28" s="95">
        <f t="shared" si="5"/>
        <v>0</v>
      </c>
    </row>
    <row r="29" spans="1:20" x14ac:dyDescent="0.3">
      <c r="A29" s="91" t="s">
        <v>192</v>
      </c>
      <c r="B29" s="85" t="s">
        <v>183</v>
      </c>
      <c r="L29" s="95">
        <v>5</v>
      </c>
      <c r="R29" s="109">
        <f t="shared" si="3"/>
        <v>6.6666666666666666E-2</v>
      </c>
      <c r="S29" s="95">
        <f t="shared" si="4"/>
        <v>5</v>
      </c>
      <c r="T29" s="95">
        <f t="shared" si="5"/>
        <v>0</v>
      </c>
    </row>
    <row r="30" spans="1:20" x14ac:dyDescent="0.3">
      <c r="A30" s="91" t="s">
        <v>193</v>
      </c>
      <c r="B30" s="85" t="s">
        <v>183</v>
      </c>
      <c r="L30" s="95">
        <v>9.0999999999999998E-2</v>
      </c>
      <c r="R30" s="109">
        <f t="shared" si="3"/>
        <v>6.6666666666666666E-2</v>
      </c>
      <c r="S30" s="95">
        <f t="shared" si="4"/>
        <v>9.0999999999999998E-2</v>
      </c>
      <c r="T30" s="95">
        <f t="shared" si="5"/>
        <v>0</v>
      </c>
    </row>
    <row r="31" spans="1:20" x14ac:dyDescent="0.3">
      <c r="A31" s="92" t="s">
        <v>194</v>
      </c>
      <c r="B31" s="85" t="s">
        <v>195</v>
      </c>
      <c r="F31" s="96">
        <v>2</v>
      </c>
      <c r="R31" s="109">
        <f t="shared" si="3"/>
        <v>6.6666666666666666E-2</v>
      </c>
      <c r="S31" s="95">
        <f t="shared" si="4"/>
        <v>2</v>
      </c>
      <c r="T31" s="95">
        <f t="shared" si="5"/>
        <v>0</v>
      </c>
    </row>
    <row r="32" spans="1:20" x14ac:dyDescent="0.3">
      <c r="A32" s="92" t="s">
        <v>196</v>
      </c>
      <c r="B32" s="85" t="s">
        <v>195</v>
      </c>
      <c r="F32" s="96">
        <v>0.26500000000000001</v>
      </c>
      <c r="R32" s="109">
        <f t="shared" si="3"/>
        <v>6.6666666666666666E-2</v>
      </c>
      <c r="S32" s="95">
        <f t="shared" si="4"/>
        <v>0.26500000000000001</v>
      </c>
      <c r="T32" s="95">
        <f t="shared" si="5"/>
        <v>0</v>
      </c>
    </row>
    <row r="33" spans="1:20" x14ac:dyDescent="0.3">
      <c r="A33" s="92" t="s">
        <v>197</v>
      </c>
      <c r="B33" s="85" t="s">
        <v>198</v>
      </c>
      <c r="K33" s="95">
        <v>2</v>
      </c>
      <c r="R33" s="109">
        <f t="shared" si="3"/>
        <v>6.6666666666666666E-2</v>
      </c>
      <c r="S33" s="95">
        <f t="shared" si="4"/>
        <v>2</v>
      </c>
      <c r="T33" s="95">
        <f t="shared" si="5"/>
        <v>0</v>
      </c>
    </row>
    <row r="34" spans="1:20" x14ac:dyDescent="0.3">
      <c r="A34" s="92" t="s">
        <v>199</v>
      </c>
      <c r="B34" s="85" t="s">
        <v>198</v>
      </c>
      <c r="K34" s="95">
        <v>4.3999999999999997E-2</v>
      </c>
      <c r="R34" s="109">
        <f t="shared" si="3"/>
        <v>6.6666666666666666E-2</v>
      </c>
      <c r="S34" s="95">
        <f t="shared" si="4"/>
        <v>4.3999999999999997E-2</v>
      </c>
      <c r="T34" s="95">
        <f t="shared" si="5"/>
        <v>0</v>
      </c>
    </row>
    <row r="35" spans="1:20" x14ac:dyDescent="0.3">
      <c r="A35" s="92"/>
    </row>
    <row r="36" spans="1:20" x14ac:dyDescent="0.3">
      <c r="A36" s="92"/>
    </row>
    <row r="37" spans="1:20" x14ac:dyDescent="0.3">
      <c r="A37" s="92" t="s">
        <v>200</v>
      </c>
      <c r="C37" s="93">
        <f>SUM(C15+C17+C19+C21+C23+C25+C27+C29+C31+C33)</f>
        <v>118</v>
      </c>
      <c r="D37" s="93"/>
      <c r="E37" s="93">
        <f t="shared" ref="E37:O38" si="6">SUM(E15+E17+E19+E21+E23+E25+E27+E29+E31+E33)</f>
        <v>7</v>
      </c>
      <c r="F37" s="93">
        <f t="shared" si="6"/>
        <v>94</v>
      </c>
      <c r="G37" s="93">
        <f t="shared" si="6"/>
        <v>24</v>
      </c>
      <c r="H37" s="93">
        <f t="shared" si="6"/>
        <v>7</v>
      </c>
      <c r="I37" s="93">
        <f t="shared" si="6"/>
        <v>2</v>
      </c>
      <c r="J37" s="93"/>
      <c r="K37" s="93">
        <f t="shared" si="6"/>
        <v>10</v>
      </c>
      <c r="L37" s="93">
        <f t="shared" si="6"/>
        <v>16</v>
      </c>
      <c r="M37" s="92">
        <f t="shared" si="6"/>
        <v>3</v>
      </c>
      <c r="N37" s="92"/>
      <c r="O37" s="92">
        <f t="shared" si="6"/>
        <v>1</v>
      </c>
      <c r="P37" s="92"/>
      <c r="Q37" s="92"/>
      <c r="R37" s="109">
        <f t="shared" si="3"/>
        <v>0.66666666666666663</v>
      </c>
      <c r="S37" s="95">
        <f t="shared" si="4"/>
        <v>278</v>
      </c>
      <c r="T37" s="95">
        <f t="shared" si="5"/>
        <v>4</v>
      </c>
    </row>
    <row r="38" spans="1:20" x14ac:dyDescent="0.3">
      <c r="A38" s="92" t="s">
        <v>201</v>
      </c>
      <c r="C38" s="93">
        <f>SUM(C16+C18+C20+C22+C24+C26+C28+C30+C32+C34)</f>
        <v>3.3180000000000001</v>
      </c>
      <c r="D38" s="93"/>
      <c r="E38" s="93">
        <f t="shared" si="6"/>
        <v>0.24299999999999999</v>
      </c>
      <c r="F38" s="93">
        <f t="shared" si="6"/>
        <v>3.5990000000000002</v>
      </c>
      <c r="G38" s="93">
        <f t="shared" si="6"/>
        <v>0.14700000000000002</v>
      </c>
      <c r="H38" s="93">
        <f t="shared" si="6"/>
        <v>0.20900000000000002</v>
      </c>
      <c r="I38" s="93">
        <f t="shared" si="6"/>
        <v>0.30199999999999999</v>
      </c>
      <c r="J38" s="93"/>
      <c r="K38" s="93">
        <f t="shared" si="6"/>
        <v>0.25700000000000001</v>
      </c>
      <c r="L38" s="93">
        <f t="shared" si="6"/>
        <v>0.29799999999999999</v>
      </c>
      <c r="M38" s="92">
        <f t="shared" si="6"/>
        <v>0.17899999999999999</v>
      </c>
      <c r="N38" s="92"/>
      <c r="O38" s="92">
        <f t="shared" si="6"/>
        <v>3.5000000000000003E-2</v>
      </c>
      <c r="P38" s="92"/>
      <c r="Q38" s="92"/>
      <c r="R38" s="109">
        <f t="shared" si="3"/>
        <v>0.66666666666666663</v>
      </c>
      <c r="S38" s="95">
        <f t="shared" si="4"/>
        <v>8.3729999999999993</v>
      </c>
      <c r="T38" s="95">
        <f t="shared" si="5"/>
        <v>0.214</v>
      </c>
    </row>
    <row r="39" spans="1:20" s="87" customFormat="1" x14ac:dyDescent="0.3">
      <c r="A39" s="87" t="s">
        <v>202</v>
      </c>
      <c r="B39" s="88"/>
      <c r="R39" s="104"/>
    </row>
    <row r="40" spans="1:20" x14ac:dyDescent="0.3">
      <c r="A40" s="92" t="s">
        <v>203</v>
      </c>
      <c r="C40" s="93">
        <v>2</v>
      </c>
      <c r="D40" s="95">
        <v>25</v>
      </c>
      <c r="E40" s="95">
        <v>148</v>
      </c>
      <c r="F40" s="96">
        <v>1</v>
      </c>
      <c r="I40" s="95">
        <v>5</v>
      </c>
      <c r="M40" s="96">
        <v>9</v>
      </c>
      <c r="N40" s="96">
        <v>16</v>
      </c>
      <c r="O40" s="96">
        <v>14</v>
      </c>
      <c r="Q40" s="96">
        <v>17</v>
      </c>
      <c r="R40" s="109">
        <f t="shared" si="3"/>
        <v>0.6</v>
      </c>
      <c r="S40" s="95">
        <f>SUM(C40:L40)</f>
        <v>181</v>
      </c>
      <c r="T40" s="95">
        <f>SUM(M40:Q40)</f>
        <v>56</v>
      </c>
    </row>
    <row r="41" spans="1:20" x14ac:dyDescent="0.3">
      <c r="A41" s="92" t="s">
        <v>204</v>
      </c>
      <c r="C41" s="93">
        <v>6.0000000000000001E-3</v>
      </c>
      <c r="D41" s="95">
        <v>0.63800000000000001</v>
      </c>
      <c r="E41" s="95">
        <v>2.1459999999999999</v>
      </c>
      <c r="F41" s="96">
        <v>8.5000000000000006E-2</v>
      </c>
      <c r="I41" s="95">
        <v>5.0000000000000001E-3</v>
      </c>
      <c r="M41" s="96">
        <v>0.94399999999999995</v>
      </c>
      <c r="N41" s="96">
        <v>0.247</v>
      </c>
      <c r="O41" s="96">
        <v>0.443</v>
      </c>
      <c r="Q41" s="96">
        <v>1.913</v>
      </c>
      <c r="R41" s="109">
        <f t="shared" si="3"/>
        <v>0.6</v>
      </c>
      <c r="S41" s="95">
        <f t="shared" ref="S41:S50" si="7">SUM(C41:L41)</f>
        <v>2.88</v>
      </c>
      <c r="T41" s="95">
        <f t="shared" ref="T41:T50" si="8">SUM(M41:Q41)</f>
        <v>3.5469999999999997</v>
      </c>
    </row>
    <row r="42" spans="1:20" x14ac:dyDescent="0.3">
      <c r="A42" s="92" t="s">
        <v>205</v>
      </c>
      <c r="B42" s="85" t="s">
        <v>114</v>
      </c>
      <c r="C42" s="93">
        <v>4</v>
      </c>
      <c r="D42" s="93"/>
      <c r="P42" s="96">
        <v>6</v>
      </c>
      <c r="R42" s="109">
        <f t="shared" si="3"/>
        <v>0.13333333333333333</v>
      </c>
      <c r="S42" s="95">
        <f t="shared" si="7"/>
        <v>4</v>
      </c>
      <c r="T42" s="95">
        <f t="shared" si="8"/>
        <v>6</v>
      </c>
    </row>
    <row r="43" spans="1:20" x14ac:dyDescent="0.3">
      <c r="A43" s="92" t="s">
        <v>142</v>
      </c>
      <c r="B43" s="85" t="s">
        <v>114</v>
      </c>
      <c r="C43" s="92">
        <v>1.2999999999999999E-2</v>
      </c>
      <c r="D43" s="93"/>
      <c r="P43" s="96">
        <v>0.11899999999999999</v>
      </c>
      <c r="R43" s="109">
        <f t="shared" si="3"/>
        <v>0.13333333333333333</v>
      </c>
      <c r="S43" s="95">
        <f t="shared" si="7"/>
        <v>1.2999999999999999E-2</v>
      </c>
      <c r="T43" s="95">
        <f t="shared" si="8"/>
        <v>0.11899999999999999</v>
      </c>
    </row>
    <row r="44" spans="1:20" x14ac:dyDescent="0.3">
      <c r="A44" s="92" t="s">
        <v>206</v>
      </c>
      <c r="B44" s="85" t="s">
        <v>114</v>
      </c>
      <c r="D44" s="92">
        <v>111</v>
      </c>
      <c r="E44" s="95">
        <v>92</v>
      </c>
      <c r="I44" s="95">
        <v>2</v>
      </c>
      <c r="M44" s="96">
        <v>13</v>
      </c>
      <c r="N44" s="96">
        <v>2</v>
      </c>
      <c r="O44" s="96">
        <v>1</v>
      </c>
      <c r="Q44" s="96">
        <v>13</v>
      </c>
      <c r="R44" s="109">
        <f t="shared" si="3"/>
        <v>0.46666666666666667</v>
      </c>
      <c r="S44" s="95">
        <f t="shared" si="7"/>
        <v>205</v>
      </c>
      <c r="T44" s="95">
        <f t="shared" si="8"/>
        <v>29</v>
      </c>
    </row>
    <row r="45" spans="1:20" x14ac:dyDescent="0.3">
      <c r="A45" s="92" t="s">
        <v>207</v>
      </c>
      <c r="B45" s="85" t="s">
        <v>114</v>
      </c>
      <c r="D45" s="92">
        <v>2.2879999999999998</v>
      </c>
      <c r="E45" s="95">
        <v>1.617</v>
      </c>
      <c r="I45" s="95">
        <v>0.02</v>
      </c>
      <c r="M45" s="96">
        <v>2.931</v>
      </c>
      <c r="N45" s="96">
        <v>2.4E-2</v>
      </c>
      <c r="O45" s="96">
        <v>0.08</v>
      </c>
      <c r="Q45" s="96">
        <v>1.19</v>
      </c>
      <c r="R45" s="109">
        <f t="shared" si="3"/>
        <v>0.46666666666666667</v>
      </c>
      <c r="S45" s="95">
        <f t="shared" si="7"/>
        <v>3.9249999999999998</v>
      </c>
      <c r="T45" s="95">
        <f t="shared" si="8"/>
        <v>4.2249999999999996</v>
      </c>
    </row>
    <row r="46" spans="1:20" x14ac:dyDescent="0.3">
      <c r="A46" s="92" t="s">
        <v>208</v>
      </c>
      <c r="B46" s="85" t="s">
        <v>114</v>
      </c>
      <c r="D46" s="92"/>
      <c r="M46" s="96">
        <v>15</v>
      </c>
      <c r="R46" s="109">
        <f t="shared" si="3"/>
        <v>6.6666666666666666E-2</v>
      </c>
      <c r="S46" s="95">
        <f t="shared" si="7"/>
        <v>0</v>
      </c>
      <c r="T46" s="95">
        <f t="shared" si="8"/>
        <v>15</v>
      </c>
    </row>
    <row r="47" spans="1:20" x14ac:dyDescent="0.3">
      <c r="A47" s="93" t="s">
        <v>209</v>
      </c>
      <c r="B47" s="85" t="s">
        <v>114</v>
      </c>
      <c r="D47" s="93"/>
      <c r="M47" s="96">
        <v>7.056</v>
      </c>
      <c r="R47" s="109">
        <f t="shared" si="3"/>
        <v>6.6666666666666666E-2</v>
      </c>
      <c r="S47" s="95">
        <f t="shared" si="7"/>
        <v>0</v>
      </c>
      <c r="T47" s="95">
        <f t="shared" si="8"/>
        <v>7.056</v>
      </c>
    </row>
    <row r="48" spans="1:20" x14ac:dyDescent="0.3">
      <c r="D48" s="93"/>
    </row>
    <row r="49" spans="1:20" x14ac:dyDescent="0.3">
      <c r="A49" s="92" t="s">
        <v>200</v>
      </c>
      <c r="C49" s="93">
        <f>SUM(C40+C42+C44+C46)</f>
        <v>6</v>
      </c>
      <c r="D49" s="93">
        <f t="shared" ref="D49:O50" si="9">SUM(D40+D42+D44+D46)</f>
        <v>136</v>
      </c>
      <c r="E49" s="93">
        <f t="shared" si="9"/>
        <v>240</v>
      </c>
      <c r="F49" s="93">
        <f t="shared" si="9"/>
        <v>1</v>
      </c>
      <c r="G49" s="93"/>
      <c r="H49" s="93"/>
      <c r="I49" s="93">
        <f t="shared" si="9"/>
        <v>7</v>
      </c>
      <c r="J49" s="93"/>
      <c r="K49" s="93"/>
      <c r="L49" s="93"/>
      <c r="M49" s="92">
        <f t="shared" si="9"/>
        <v>37</v>
      </c>
      <c r="N49" s="92">
        <f t="shared" si="9"/>
        <v>18</v>
      </c>
      <c r="O49" s="92">
        <f t="shared" si="9"/>
        <v>15</v>
      </c>
      <c r="P49" s="92">
        <v>6</v>
      </c>
      <c r="Q49" s="92">
        <f>SUM(Q40+Q42+Q44+Q46)</f>
        <v>30</v>
      </c>
      <c r="R49" s="109">
        <f t="shared" si="3"/>
        <v>0.66666666666666663</v>
      </c>
      <c r="S49" s="95">
        <f t="shared" si="7"/>
        <v>390</v>
      </c>
      <c r="T49" s="95">
        <f>SUM(M49:Q49)</f>
        <v>106</v>
      </c>
    </row>
    <row r="50" spans="1:20" x14ac:dyDescent="0.3">
      <c r="A50" s="92" t="s">
        <v>201</v>
      </c>
      <c r="C50" s="93">
        <f>SUM(C41+C43+C45+C47)</f>
        <v>1.9E-2</v>
      </c>
      <c r="D50" s="93">
        <f t="shared" si="9"/>
        <v>2.9259999999999997</v>
      </c>
      <c r="E50" s="93">
        <f t="shared" si="9"/>
        <v>3.7629999999999999</v>
      </c>
      <c r="F50" s="93">
        <f t="shared" si="9"/>
        <v>8.5000000000000006E-2</v>
      </c>
      <c r="G50" s="93"/>
      <c r="H50" s="93"/>
      <c r="I50" s="93">
        <f t="shared" si="9"/>
        <v>2.5000000000000001E-2</v>
      </c>
      <c r="J50" s="93"/>
      <c r="K50" s="93"/>
      <c r="L50" s="93"/>
      <c r="M50" s="92">
        <f t="shared" si="9"/>
        <v>10.931000000000001</v>
      </c>
      <c r="N50" s="92">
        <f t="shared" si="9"/>
        <v>0.27100000000000002</v>
      </c>
      <c r="O50" s="92">
        <f t="shared" si="9"/>
        <v>0.52300000000000002</v>
      </c>
      <c r="P50" s="92">
        <f>SUM(P41+P43+P45+P47)</f>
        <v>0.11899999999999999</v>
      </c>
      <c r="Q50" s="92">
        <f>SUM(Q41+Q43+Q45+Q47)</f>
        <v>3.1029999999999998</v>
      </c>
      <c r="R50" s="109">
        <f t="shared" si="3"/>
        <v>0.66666666666666663</v>
      </c>
      <c r="S50" s="95">
        <f t="shared" si="7"/>
        <v>6.8180000000000005</v>
      </c>
      <c r="T50" s="95">
        <f t="shared" si="8"/>
        <v>14.947000000000001</v>
      </c>
    </row>
    <row r="51" spans="1:20" s="87" customFormat="1" x14ac:dyDescent="0.3">
      <c r="A51" s="87" t="s">
        <v>35</v>
      </c>
      <c r="B51" s="88"/>
      <c r="R51" s="104"/>
    </row>
    <row r="52" spans="1:20" x14ac:dyDescent="0.3">
      <c r="A52" s="93" t="s">
        <v>210</v>
      </c>
      <c r="C52" s="93" t="s">
        <v>56</v>
      </c>
      <c r="D52" s="95" t="s">
        <v>56</v>
      </c>
      <c r="E52" s="92">
        <v>497</v>
      </c>
      <c r="F52" s="92">
        <v>355</v>
      </c>
      <c r="G52" s="92">
        <v>20</v>
      </c>
      <c r="H52" s="95">
        <v>75</v>
      </c>
      <c r="I52" s="95">
        <v>31</v>
      </c>
      <c r="L52" s="95">
        <v>60</v>
      </c>
      <c r="N52" s="96">
        <v>141</v>
      </c>
      <c r="O52" s="96">
        <v>124</v>
      </c>
      <c r="P52" s="96">
        <v>47</v>
      </c>
      <c r="Q52" s="96">
        <v>10</v>
      </c>
      <c r="R52" s="109">
        <f t="shared" si="3"/>
        <v>0.66666666666666663</v>
      </c>
      <c r="S52" s="95">
        <f>SUM(E52:L52)</f>
        <v>1038</v>
      </c>
      <c r="T52" s="95">
        <f>SUM(M52:Q52)</f>
        <v>322</v>
      </c>
    </row>
    <row r="53" spans="1:20" x14ac:dyDescent="0.3">
      <c r="A53" s="93" t="s">
        <v>211</v>
      </c>
      <c r="C53" s="93">
        <v>3.6360000000000001</v>
      </c>
      <c r="D53" s="95">
        <v>1.845</v>
      </c>
      <c r="E53" s="92">
        <v>2.9689999999999999</v>
      </c>
      <c r="F53" s="92">
        <v>3.2</v>
      </c>
      <c r="G53" s="92">
        <v>6.7000000000000004E-2</v>
      </c>
      <c r="H53" s="95">
        <v>0.71499999999999997</v>
      </c>
      <c r="I53" s="95">
        <v>0.17</v>
      </c>
      <c r="K53" s="95">
        <v>0.36599999999999999</v>
      </c>
      <c r="L53" s="95">
        <v>0.93600000000000005</v>
      </c>
      <c r="M53" s="96">
        <v>5.2519999999999998</v>
      </c>
      <c r="N53" s="96">
        <v>1.264</v>
      </c>
      <c r="O53" s="96">
        <v>0.86499999999999999</v>
      </c>
      <c r="P53" s="96">
        <v>0.34399999999999997</v>
      </c>
      <c r="Q53" s="96">
        <v>0.26700000000000002</v>
      </c>
      <c r="R53" s="109">
        <f t="shared" si="3"/>
        <v>0.93333333333333335</v>
      </c>
      <c r="S53" s="95">
        <f>SUM(C53:L53)</f>
        <v>13.903999999999998</v>
      </c>
      <c r="T53" s="95">
        <f>SUM(M53:Q53)</f>
        <v>7.9920000000000009</v>
      </c>
    </row>
    <row r="54" spans="1:20" x14ac:dyDescent="0.3">
      <c r="E54" s="92"/>
      <c r="F54" s="92"/>
      <c r="G54" s="92"/>
    </row>
    <row r="57" spans="1:20" s="87" customFormat="1" x14ac:dyDescent="0.3">
      <c r="A57" s="87" t="s">
        <v>231</v>
      </c>
      <c r="B57" s="88"/>
      <c r="R57" s="104"/>
    </row>
    <row r="58" spans="1:20" x14ac:dyDescent="0.3">
      <c r="C58" s="93" t="s">
        <v>232</v>
      </c>
      <c r="J58" s="95" t="s">
        <v>233</v>
      </c>
      <c r="K58" s="95" t="s">
        <v>234</v>
      </c>
      <c r="M58" s="96" t="s">
        <v>234</v>
      </c>
      <c r="N58" s="96" t="s">
        <v>235</v>
      </c>
      <c r="O58" s="96" t="s">
        <v>236</v>
      </c>
      <c r="P58" s="96" t="s">
        <v>237</v>
      </c>
    </row>
    <row r="60" spans="1:20" x14ac:dyDescent="0.3">
      <c r="D60" s="93"/>
      <c r="E60" s="93"/>
      <c r="F60" s="92"/>
      <c r="G60" s="93"/>
      <c r="H60" s="93"/>
      <c r="I60" s="93"/>
      <c r="J60" s="93"/>
      <c r="K60" s="93"/>
      <c r="L60" s="93"/>
      <c r="M60" s="92"/>
      <c r="N60" s="92"/>
      <c r="O60" s="92"/>
      <c r="P60" s="92"/>
      <c r="Q60" s="92"/>
    </row>
    <row r="61" spans="1:20" x14ac:dyDescent="0.3">
      <c r="D61" s="93"/>
      <c r="E61" s="93"/>
      <c r="F61" s="92"/>
      <c r="G61" s="93"/>
      <c r="H61" s="93"/>
      <c r="I61" s="93"/>
      <c r="J61" s="93"/>
      <c r="K61" s="93"/>
      <c r="L61" s="93"/>
      <c r="M61" s="92"/>
      <c r="N61" s="92"/>
      <c r="O61" s="92"/>
      <c r="P61" s="92"/>
      <c r="Q61" s="92"/>
    </row>
    <row r="62" spans="1:20" x14ac:dyDescent="0.3">
      <c r="D62" s="93"/>
      <c r="E62" s="93"/>
      <c r="F62" s="92"/>
      <c r="G62" s="93"/>
      <c r="H62" s="93"/>
      <c r="I62" s="93"/>
      <c r="J62" s="93"/>
      <c r="K62" s="93"/>
      <c r="L62" s="93"/>
      <c r="M62" s="92"/>
      <c r="N62" s="92"/>
      <c r="O62" s="92"/>
      <c r="P62" s="92"/>
      <c r="Q62" s="92"/>
    </row>
    <row r="63" spans="1:20" x14ac:dyDescent="0.3">
      <c r="D63" s="93"/>
      <c r="E63" s="93"/>
      <c r="F63" s="92"/>
      <c r="G63" s="93"/>
      <c r="H63" s="93"/>
      <c r="I63" s="93"/>
      <c r="J63" s="93"/>
      <c r="K63" s="93"/>
      <c r="L63" s="93"/>
      <c r="M63" s="92"/>
      <c r="N63" s="92"/>
      <c r="O63" s="92"/>
      <c r="P63" s="92"/>
      <c r="Q63" s="92"/>
    </row>
    <row r="64" spans="1:20" x14ac:dyDescent="0.3">
      <c r="D64" s="93"/>
      <c r="E64" s="93"/>
      <c r="F64" s="92"/>
      <c r="G64" s="93"/>
      <c r="H64" s="93"/>
      <c r="I64" s="93"/>
      <c r="J64" s="93"/>
      <c r="K64" s="93"/>
      <c r="L64" s="93"/>
      <c r="M64" s="92"/>
      <c r="N64" s="92"/>
      <c r="O64" s="92"/>
      <c r="P64" s="92"/>
      <c r="Q64" s="92"/>
    </row>
    <row r="65" spans="4:17" x14ac:dyDescent="0.3">
      <c r="D65" s="93"/>
      <c r="E65" s="93"/>
      <c r="F65" s="92"/>
      <c r="G65" s="93"/>
      <c r="H65" s="93"/>
      <c r="I65" s="93"/>
      <c r="J65" s="93"/>
      <c r="K65" s="93"/>
      <c r="L65" s="93"/>
      <c r="M65" s="92"/>
      <c r="N65" s="92"/>
      <c r="O65" s="92"/>
      <c r="P65" s="92"/>
      <c r="Q65" s="92"/>
    </row>
    <row r="88" spans="4:13" x14ac:dyDescent="0.3">
      <c r="D88" s="93"/>
      <c r="E88" s="93"/>
    </row>
    <row r="89" spans="4:13" x14ac:dyDescent="0.3">
      <c r="D89" s="93"/>
      <c r="E89" s="93"/>
      <c r="F89" s="106"/>
      <c r="M89" s="106"/>
    </row>
    <row r="90" spans="4:13" x14ac:dyDescent="0.3">
      <c r="D90" s="93"/>
      <c r="E90" s="93"/>
      <c r="F90" s="106"/>
      <c r="M90" s="106"/>
    </row>
    <row r="91" spans="4:13" x14ac:dyDescent="0.3">
      <c r="D91" s="93"/>
      <c r="E91" s="93"/>
      <c r="F91" s="106"/>
      <c r="M91" s="106"/>
    </row>
    <row r="92" spans="4:13" x14ac:dyDescent="0.3">
      <c r="D92" s="93"/>
      <c r="E92" s="93"/>
      <c r="F92" s="106"/>
      <c r="M92" s="106"/>
    </row>
    <row r="93" spans="4:13" x14ac:dyDescent="0.3">
      <c r="D93" s="93"/>
      <c r="E93" s="93"/>
      <c r="F93" s="106"/>
      <c r="M93" s="106"/>
    </row>
    <row r="94" spans="4:13" x14ac:dyDescent="0.3">
      <c r="M94" s="1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Caesarea Maritima -- NONWOOD</vt:lpstr>
      <vt:lpstr>Caesarea Maritima -- WOOD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Kathleen Forste</cp:lastModifiedBy>
  <cp:lastPrinted>2018-07-17T16:50:01Z</cp:lastPrinted>
  <dcterms:created xsi:type="dcterms:W3CDTF">2015-01-30T16:45:55Z</dcterms:created>
  <dcterms:modified xsi:type="dcterms:W3CDTF">2020-04-27T15:26:08Z</dcterms:modified>
</cp:coreProperties>
</file>